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40" yWindow="4485" windowWidth="9360" windowHeight="5190" firstSheet="2" activeTab="12"/>
  </bookViews>
  <sheets>
    <sheet name="average 12 Μ" sheetId="1" r:id="rId1"/>
    <sheet name="2020 January" sheetId="22" r:id="rId2"/>
    <sheet name="2020 February" sheetId="13" r:id="rId3"/>
    <sheet name="2020 Mar" sheetId="16" r:id="rId4"/>
    <sheet name="2020 Apr" sheetId="17" r:id="rId5"/>
    <sheet name="2020 May" sheetId="18" r:id="rId6"/>
    <sheet name="2020 June" sheetId="19" r:id="rId7"/>
    <sheet name="2020 July" sheetId="20" r:id="rId8"/>
    <sheet name="2020 Aug" sheetId="21" r:id="rId9"/>
    <sheet name="2020 Sep" sheetId="7" r:id="rId10"/>
    <sheet name="2020 Oct" sheetId="8" r:id="rId11"/>
    <sheet name="2020 Nov" sheetId="9" r:id="rId12"/>
    <sheet name="2020 Dec" sheetId="15" r:id="rId13"/>
  </sheets>
  <definedNames>
    <definedName name="_xlnm.Print_Area" localSheetId="12">'2020 Dec'!$A$1:$S$24</definedName>
    <definedName name="_xlnm.Print_Area" localSheetId="11">'2020 Nov'!$A$1:$T$26</definedName>
    <definedName name="_xlnm.Print_Area" localSheetId="0">'average 12 Μ'!$A$1:$S$24</definedName>
  </definedNames>
  <calcPr calcId="145621"/>
</workbook>
</file>

<file path=xl/calcChain.xml><?xml version="1.0" encoding="utf-8"?>
<calcChain xmlns="http://schemas.openxmlformats.org/spreadsheetml/2006/main">
  <c r="B19" i="17" l="1"/>
  <c r="B20" i="1" l="1"/>
  <c r="S23" i="15" l="1"/>
  <c r="Q23" i="15"/>
  <c r="O23" i="15"/>
  <c r="M23" i="15"/>
  <c r="K23" i="15"/>
  <c r="I23" i="15"/>
  <c r="E23" i="15"/>
  <c r="G23" i="15"/>
  <c r="P9" i="15" l="1"/>
  <c r="N9" i="15"/>
  <c r="L9" i="15"/>
  <c r="J9" i="15"/>
  <c r="H9" i="15"/>
  <c r="F9" i="15"/>
  <c r="P9" i="9"/>
  <c r="N9" i="9"/>
  <c r="L9" i="9"/>
  <c r="J9" i="9"/>
  <c r="H9" i="9"/>
  <c r="F9" i="9"/>
  <c r="P9" i="8"/>
  <c r="N9" i="8"/>
  <c r="L9" i="8"/>
  <c r="J9" i="8"/>
  <c r="H9" i="8"/>
  <c r="F9" i="8"/>
  <c r="R9" i="7"/>
  <c r="P9" i="7"/>
  <c r="N9" i="7"/>
  <c r="L9" i="7"/>
  <c r="J9" i="7"/>
  <c r="H9" i="7"/>
  <c r="F9" i="7"/>
  <c r="P9" i="21"/>
  <c r="N9" i="21"/>
  <c r="L9" i="21"/>
  <c r="J9" i="21"/>
  <c r="H9" i="21"/>
  <c r="F9" i="21"/>
  <c r="R9" i="20"/>
  <c r="P9" i="20"/>
  <c r="N9" i="20"/>
  <c r="L9" i="20"/>
  <c r="J9" i="20"/>
  <c r="H9" i="20"/>
  <c r="F9" i="20"/>
  <c r="P9" i="19"/>
  <c r="N9" i="19"/>
  <c r="L9" i="19"/>
  <c r="J9" i="19"/>
  <c r="H9" i="19"/>
  <c r="F9" i="19"/>
  <c r="P9" i="18"/>
  <c r="N9" i="18"/>
  <c r="L9" i="18"/>
  <c r="J9" i="18"/>
  <c r="H9" i="18"/>
  <c r="F9" i="18"/>
  <c r="P9" i="17" l="1"/>
  <c r="N9" i="17"/>
  <c r="L9" i="17"/>
  <c r="J9" i="17"/>
  <c r="H9" i="17"/>
  <c r="F9" i="17"/>
  <c r="P9" i="16"/>
  <c r="N9" i="16"/>
  <c r="L9" i="16"/>
  <c r="J9" i="16"/>
  <c r="H9" i="16"/>
  <c r="F9" i="16"/>
  <c r="D9" i="16"/>
  <c r="P9" i="13"/>
  <c r="N9" i="13"/>
  <c r="L9" i="13"/>
  <c r="J9" i="13"/>
  <c r="H9" i="13"/>
  <c r="P9" i="22"/>
  <c r="N9" i="22"/>
  <c r="L9" i="22"/>
  <c r="J9" i="22"/>
  <c r="H9" i="22"/>
  <c r="F9" i="22"/>
  <c r="P20" i="1" l="1"/>
  <c r="P21" i="1"/>
  <c r="R18" i="1" l="1"/>
  <c r="B18" i="1" s="1"/>
  <c r="R19" i="1"/>
  <c r="R20" i="1"/>
  <c r="R21" i="1"/>
  <c r="R17" i="1"/>
  <c r="P18" i="1"/>
  <c r="P19" i="1"/>
  <c r="P17" i="1"/>
  <c r="N18" i="1"/>
  <c r="N19" i="1"/>
  <c r="N20" i="1"/>
  <c r="N21" i="1"/>
  <c r="N17" i="1"/>
  <c r="L18" i="1"/>
  <c r="L19" i="1"/>
  <c r="L20" i="1"/>
  <c r="L21" i="1"/>
  <c r="L17" i="1"/>
  <c r="J18" i="1"/>
  <c r="J19" i="1"/>
  <c r="B19" i="1" s="1"/>
  <c r="J20" i="1"/>
  <c r="J21" i="1"/>
  <c r="J17" i="1"/>
  <c r="H18" i="1"/>
  <c r="H19" i="1"/>
  <c r="H20" i="1"/>
  <c r="H21" i="1"/>
  <c r="H17" i="1"/>
  <c r="F18" i="1"/>
  <c r="F19" i="1"/>
  <c r="F20" i="1"/>
  <c r="F21" i="1"/>
  <c r="F17" i="1"/>
  <c r="D18" i="1"/>
  <c r="D19" i="1"/>
  <c r="D21" i="1"/>
  <c r="D17" i="1"/>
  <c r="S23" i="9"/>
  <c r="Q23" i="9"/>
  <c r="O23" i="9"/>
  <c r="M23" i="9"/>
  <c r="K23" i="9"/>
  <c r="I23" i="9"/>
  <c r="E23" i="9"/>
  <c r="B21" i="1" l="1"/>
  <c r="R9" i="1"/>
  <c r="R8" i="1"/>
  <c r="R7" i="1"/>
  <c r="R6" i="1"/>
  <c r="R5" i="1"/>
  <c r="P9" i="1"/>
  <c r="P8" i="1"/>
  <c r="P7" i="1"/>
  <c r="P6" i="1"/>
  <c r="P5" i="1"/>
  <c r="N9" i="1"/>
  <c r="N8" i="1"/>
  <c r="N7" i="1"/>
  <c r="N6" i="1"/>
  <c r="N5" i="1"/>
  <c r="L9" i="1"/>
  <c r="L8" i="1"/>
  <c r="L7" i="1"/>
  <c r="L6" i="1"/>
  <c r="L5" i="1"/>
  <c r="J9" i="1"/>
  <c r="J8" i="1"/>
  <c r="J7" i="1"/>
  <c r="J6" i="1"/>
  <c r="J5" i="1"/>
  <c r="H9" i="1"/>
  <c r="H8" i="1"/>
  <c r="H7" i="1"/>
  <c r="H6" i="1"/>
  <c r="H5" i="1"/>
  <c r="F9" i="1"/>
  <c r="F8" i="1"/>
  <c r="F7" i="1"/>
  <c r="F6" i="1"/>
  <c r="F5" i="1"/>
  <c r="D9" i="1"/>
  <c r="D8" i="1"/>
  <c r="D7" i="1"/>
  <c r="D6" i="1"/>
  <c r="D5" i="1"/>
  <c r="B17" i="17" l="1"/>
  <c r="R23" i="9" l="1"/>
  <c r="P23" i="9"/>
  <c r="N23" i="9"/>
  <c r="L23" i="9"/>
  <c r="J23" i="9"/>
  <c r="H23" i="9"/>
  <c r="F23" i="9"/>
  <c r="D23" i="9"/>
  <c r="B21" i="9"/>
  <c r="B20" i="9"/>
  <c r="B19" i="9"/>
  <c r="B18" i="9"/>
  <c r="B17" i="9"/>
  <c r="R11" i="9"/>
  <c r="S5" i="9" s="1"/>
  <c r="P11" i="9"/>
  <c r="N11" i="9"/>
  <c r="O5" i="9" s="1"/>
  <c r="L11" i="9"/>
  <c r="J11" i="9"/>
  <c r="H11" i="9"/>
  <c r="I7" i="9" s="1"/>
  <c r="F11" i="9"/>
  <c r="D11" i="9"/>
  <c r="B10" i="9"/>
  <c r="Q9" i="9"/>
  <c r="B9" i="9"/>
  <c r="B8" i="9"/>
  <c r="E7" i="9"/>
  <c r="B7" i="9"/>
  <c r="B6" i="9"/>
  <c r="B5" i="9"/>
  <c r="J11" i="20"/>
  <c r="K5" i="20" s="1"/>
  <c r="L11" i="20"/>
  <c r="M5" i="20" s="1"/>
  <c r="R11" i="16"/>
  <c r="S10" i="16" s="1"/>
  <c r="F11" i="20"/>
  <c r="H11" i="20"/>
  <c r="J23" i="20"/>
  <c r="B5" i="15"/>
  <c r="R23" i="15"/>
  <c r="B17" i="15"/>
  <c r="B6" i="15"/>
  <c r="B7" i="15"/>
  <c r="B8" i="15"/>
  <c r="B9" i="15"/>
  <c r="O7" i="9" l="1"/>
  <c r="O6" i="9"/>
  <c r="O9" i="9"/>
  <c r="K9" i="9"/>
  <c r="K6" i="9"/>
  <c r="K5" i="9"/>
  <c r="K8" i="9"/>
  <c r="K7" i="9"/>
  <c r="I5" i="9"/>
  <c r="I6" i="9"/>
  <c r="I9" i="9"/>
  <c r="I8" i="9"/>
  <c r="I11" i="9"/>
  <c r="G5" i="9"/>
  <c r="G6" i="9"/>
  <c r="G9" i="9"/>
  <c r="G7" i="9"/>
  <c r="S7" i="9"/>
  <c r="S8" i="9"/>
  <c r="Q5" i="9"/>
  <c r="Q7" i="9"/>
  <c r="Q8" i="9"/>
  <c r="Q6" i="9"/>
  <c r="M7" i="9"/>
  <c r="E8" i="9"/>
  <c r="M8" i="9"/>
  <c r="S9" i="9"/>
  <c r="E5" i="9"/>
  <c r="M5" i="9"/>
  <c r="S6" i="9"/>
  <c r="G8" i="9"/>
  <c r="O8" i="9"/>
  <c r="O11" i="9" s="1"/>
  <c r="E9" i="9"/>
  <c r="M9" i="9"/>
  <c r="E6" i="9"/>
  <c r="M6" i="9"/>
  <c r="B11" i="9"/>
  <c r="D12" i="9" s="1"/>
  <c r="B23" i="9"/>
  <c r="B18" i="16"/>
  <c r="B19" i="16"/>
  <c r="B20" i="16"/>
  <c r="B21" i="16"/>
  <c r="B17" i="16"/>
  <c r="B17" i="13"/>
  <c r="S11" i="9" l="1"/>
  <c r="G11" i="9"/>
  <c r="G23" i="9"/>
  <c r="C9" i="9"/>
  <c r="R12" i="9"/>
  <c r="J12" i="9"/>
  <c r="B12" i="9"/>
  <c r="N12" i="9"/>
  <c r="P12" i="9"/>
  <c r="H12" i="9"/>
  <c r="F12" i="9"/>
  <c r="L12" i="9"/>
  <c r="Q11" i="9"/>
  <c r="E11" i="9"/>
  <c r="L24" i="9"/>
  <c r="C19" i="9"/>
  <c r="C5" i="9"/>
  <c r="N24" i="9"/>
  <c r="C17" i="9"/>
  <c r="C8" i="9"/>
  <c r="D24" i="9"/>
  <c r="J24" i="9"/>
  <c r="C20" i="9"/>
  <c r="R24" i="9"/>
  <c r="P24" i="9"/>
  <c r="C18" i="9"/>
  <c r="K11" i="9"/>
  <c r="C6" i="9"/>
  <c r="F24" i="9"/>
  <c r="H24" i="9"/>
  <c r="C21" i="9"/>
  <c r="C7" i="9"/>
  <c r="M11" i="9"/>
  <c r="C23" i="9"/>
  <c r="B24" i="9"/>
  <c r="B23" i="16"/>
  <c r="B20" i="21"/>
  <c r="B21" i="15"/>
  <c r="C11" i="9" l="1"/>
  <c r="F11" i="15"/>
  <c r="D11" i="15"/>
  <c r="G5" i="15" l="1"/>
  <c r="G6" i="15"/>
  <c r="G7" i="15"/>
  <c r="G8" i="15"/>
  <c r="G9" i="15"/>
  <c r="E5" i="15"/>
  <c r="E6" i="15"/>
  <c r="E7" i="15"/>
  <c r="E8" i="15"/>
  <c r="E9" i="15"/>
  <c r="B18" i="15"/>
  <c r="B19" i="15"/>
  <c r="B20" i="15"/>
  <c r="B21" i="13" l="1"/>
  <c r="B20" i="13"/>
  <c r="B19" i="13"/>
  <c r="B18" i="13"/>
  <c r="B5" i="13"/>
  <c r="B23" i="13" l="1"/>
  <c r="B24" i="13" s="1"/>
  <c r="P23" i="15" l="1"/>
  <c r="N23" i="15"/>
  <c r="L23" i="15"/>
  <c r="J23" i="15"/>
  <c r="H23" i="15"/>
  <c r="F23" i="15"/>
  <c r="D23" i="15"/>
  <c r="R23" i="8"/>
  <c r="P23" i="8"/>
  <c r="N23" i="8"/>
  <c r="L23" i="8"/>
  <c r="J23" i="8"/>
  <c r="H23" i="8"/>
  <c r="F23" i="8"/>
  <c r="D23" i="8"/>
  <c r="B21" i="8"/>
  <c r="B20" i="8"/>
  <c r="B19" i="8"/>
  <c r="B18" i="8"/>
  <c r="B17" i="8"/>
  <c r="R23" i="7"/>
  <c r="P23" i="7"/>
  <c r="N23" i="7"/>
  <c r="L23" i="7"/>
  <c r="J23" i="7"/>
  <c r="H23" i="7"/>
  <c r="F23" i="7"/>
  <c r="D23" i="7"/>
  <c r="B21" i="7"/>
  <c r="B20" i="7"/>
  <c r="B19" i="7"/>
  <c r="B18" i="7"/>
  <c r="B17" i="7"/>
  <c r="R23" i="21"/>
  <c r="P23" i="21"/>
  <c r="N23" i="21"/>
  <c r="L23" i="21"/>
  <c r="J23" i="21"/>
  <c r="H23" i="21"/>
  <c r="F23" i="21"/>
  <c r="D23" i="21"/>
  <c r="B21" i="21"/>
  <c r="B19" i="21"/>
  <c r="B18" i="21"/>
  <c r="B17" i="21"/>
  <c r="R23" i="20"/>
  <c r="P23" i="20"/>
  <c r="N23" i="20"/>
  <c r="L23" i="20"/>
  <c r="H23" i="20"/>
  <c r="F23" i="20"/>
  <c r="D23" i="20"/>
  <c r="B21" i="20"/>
  <c r="B20" i="20"/>
  <c r="B19" i="20"/>
  <c r="B18" i="20"/>
  <c r="B17" i="20"/>
  <c r="R23" i="19"/>
  <c r="P23" i="19"/>
  <c r="N23" i="19"/>
  <c r="L23" i="19"/>
  <c r="J23" i="19"/>
  <c r="H23" i="19"/>
  <c r="F23" i="19"/>
  <c r="D23" i="19"/>
  <c r="B21" i="19"/>
  <c r="B20" i="19"/>
  <c r="B19" i="19"/>
  <c r="B18" i="19"/>
  <c r="B17" i="19"/>
  <c r="D11" i="19"/>
  <c r="E11" i="19" s="1"/>
  <c r="B5" i="19"/>
  <c r="B6" i="19"/>
  <c r="B7" i="19"/>
  <c r="B8" i="19"/>
  <c r="B9" i="19"/>
  <c r="D11" i="18"/>
  <c r="R23" i="17"/>
  <c r="P23" i="17"/>
  <c r="N23" i="17"/>
  <c r="L23" i="17"/>
  <c r="J23" i="17"/>
  <c r="H23" i="17"/>
  <c r="F23" i="17"/>
  <c r="D23" i="17"/>
  <c r="B21" i="17"/>
  <c r="B20" i="17"/>
  <c r="B18" i="17"/>
  <c r="B5" i="17"/>
  <c r="E8" i="18" l="1"/>
  <c r="B23" i="8"/>
  <c r="C18" i="8" s="1"/>
  <c r="B23" i="7"/>
  <c r="C21" i="7" s="1"/>
  <c r="B23" i="15"/>
  <c r="R24" i="15" s="1"/>
  <c r="E5" i="18"/>
  <c r="E9" i="18"/>
  <c r="E7" i="19"/>
  <c r="E6" i="18"/>
  <c r="E11" i="18"/>
  <c r="E8" i="19"/>
  <c r="E7" i="18"/>
  <c r="E5" i="19"/>
  <c r="E9" i="19"/>
  <c r="E6" i="19"/>
  <c r="B23" i="21"/>
  <c r="B23" i="20"/>
  <c r="P24" i="20" s="1"/>
  <c r="B23" i="19"/>
  <c r="C19" i="19" s="1"/>
  <c r="L24" i="19"/>
  <c r="B11" i="19"/>
  <c r="C11" i="19" s="1"/>
  <c r="B11" i="15"/>
  <c r="B12" i="15" s="1"/>
  <c r="R11" i="17"/>
  <c r="S5" i="17" s="1"/>
  <c r="P11" i="17"/>
  <c r="Q9" i="17" s="1"/>
  <c r="N11" i="17"/>
  <c r="O8" i="17" s="1"/>
  <c r="L11" i="17"/>
  <c r="M9" i="17" s="1"/>
  <c r="J11" i="17"/>
  <c r="K11" i="17" s="1"/>
  <c r="H11" i="17"/>
  <c r="I5" i="17" s="1"/>
  <c r="F11" i="17"/>
  <c r="G11" i="17" s="1"/>
  <c r="D11" i="17"/>
  <c r="E11" i="17" s="1"/>
  <c r="B9" i="17"/>
  <c r="B8" i="17"/>
  <c r="B7" i="17"/>
  <c r="B6" i="17"/>
  <c r="J11" i="13"/>
  <c r="F11" i="13"/>
  <c r="F23" i="22"/>
  <c r="G23" i="22" s="1"/>
  <c r="B21" i="22"/>
  <c r="B20" i="22"/>
  <c r="B19" i="22"/>
  <c r="B18" i="22"/>
  <c r="B17" i="22"/>
  <c r="R23" i="22"/>
  <c r="S23" i="22" s="1"/>
  <c r="P23" i="22"/>
  <c r="Q23" i="22" s="1"/>
  <c r="N23" i="22"/>
  <c r="O23" i="22" s="1"/>
  <c r="L23" i="22"/>
  <c r="M23" i="22" s="1"/>
  <c r="J23" i="22"/>
  <c r="K23" i="22" s="1"/>
  <c r="H23" i="22"/>
  <c r="I23" i="22" s="1"/>
  <c r="D23" i="22"/>
  <c r="E23" i="22" s="1"/>
  <c r="R11" i="22"/>
  <c r="N11" i="22"/>
  <c r="J11" i="22"/>
  <c r="F11" i="22"/>
  <c r="D11" i="22"/>
  <c r="B8" i="22"/>
  <c r="B7" i="22"/>
  <c r="B6" i="22"/>
  <c r="B5" i="22"/>
  <c r="R11" i="19"/>
  <c r="P11" i="19"/>
  <c r="N11" i="19"/>
  <c r="L11" i="19"/>
  <c r="J11" i="19"/>
  <c r="H11" i="19"/>
  <c r="F11" i="19"/>
  <c r="R11" i="21"/>
  <c r="P11" i="21"/>
  <c r="N11" i="21"/>
  <c r="L11" i="21"/>
  <c r="J11" i="21"/>
  <c r="H11" i="21"/>
  <c r="D11" i="21"/>
  <c r="F11" i="21"/>
  <c r="B8" i="21"/>
  <c r="B7" i="21"/>
  <c r="B6" i="21"/>
  <c r="B5" i="21"/>
  <c r="R11" i="20"/>
  <c r="P11" i="20"/>
  <c r="N11" i="20"/>
  <c r="D11" i="20"/>
  <c r="B9" i="20"/>
  <c r="B8" i="20"/>
  <c r="B7" i="20"/>
  <c r="B6" i="20"/>
  <c r="B5" i="20"/>
  <c r="B9" i="18"/>
  <c r="B8" i="18"/>
  <c r="B7" i="18"/>
  <c r="B6" i="18"/>
  <c r="B5" i="18"/>
  <c r="R11" i="18"/>
  <c r="P11" i="18"/>
  <c r="N11" i="18"/>
  <c r="L11" i="18"/>
  <c r="J11" i="18"/>
  <c r="H11" i="18"/>
  <c r="F11" i="18"/>
  <c r="B21" i="18"/>
  <c r="B20" i="18"/>
  <c r="B19" i="18"/>
  <c r="B18" i="18"/>
  <c r="B17" i="18"/>
  <c r="R23" i="18"/>
  <c r="P23" i="18"/>
  <c r="N23" i="18"/>
  <c r="L23" i="18"/>
  <c r="J23" i="18"/>
  <c r="H23" i="18"/>
  <c r="F23" i="18"/>
  <c r="D23" i="18"/>
  <c r="R23" i="16"/>
  <c r="P23" i="16"/>
  <c r="N23" i="16"/>
  <c r="L23" i="16"/>
  <c r="J23" i="16"/>
  <c r="H23" i="16"/>
  <c r="F23" i="16"/>
  <c r="D23" i="16"/>
  <c r="S11" i="16"/>
  <c r="P11" i="16"/>
  <c r="Q9" i="16" s="1"/>
  <c r="N11" i="16"/>
  <c r="O11" i="16" s="1"/>
  <c r="L11" i="16"/>
  <c r="M11" i="16" s="1"/>
  <c r="J11" i="16"/>
  <c r="K11" i="16" s="1"/>
  <c r="H11" i="16"/>
  <c r="I11" i="16" s="1"/>
  <c r="F11" i="16"/>
  <c r="G11" i="16" s="1"/>
  <c r="D11" i="16"/>
  <c r="E7" i="16" s="1"/>
  <c r="B9" i="16"/>
  <c r="B8" i="16"/>
  <c r="B7" i="16"/>
  <c r="B6" i="16"/>
  <c r="B5" i="16"/>
  <c r="R23" i="13"/>
  <c r="P23" i="13"/>
  <c r="N23" i="13"/>
  <c r="L23" i="13"/>
  <c r="J23" i="13"/>
  <c r="H23" i="13"/>
  <c r="F23" i="13"/>
  <c r="F24" i="13" s="1"/>
  <c r="D23" i="13"/>
  <c r="C20" i="13"/>
  <c r="C23" i="13"/>
  <c r="C18" i="13"/>
  <c r="R11" i="13"/>
  <c r="P11" i="13"/>
  <c r="N11" i="13"/>
  <c r="H11" i="13"/>
  <c r="D11" i="13"/>
  <c r="B8" i="13"/>
  <c r="B7" i="13"/>
  <c r="B6" i="13"/>
  <c r="P11" i="8"/>
  <c r="B9" i="8"/>
  <c r="J11" i="15"/>
  <c r="H11" i="15"/>
  <c r="L11" i="15"/>
  <c r="N11" i="15"/>
  <c r="P11" i="15"/>
  <c r="R11" i="15"/>
  <c r="B5" i="8"/>
  <c r="B6" i="8"/>
  <c r="B7" i="8"/>
  <c r="B8" i="8"/>
  <c r="D11" i="8"/>
  <c r="R11" i="8"/>
  <c r="B5" i="7"/>
  <c r="B6" i="7"/>
  <c r="B7" i="7"/>
  <c r="B8" i="7"/>
  <c r="B9" i="7"/>
  <c r="D11" i="7"/>
  <c r="F11" i="7"/>
  <c r="H11" i="7"/>
  <c r="J11" i="7"/>
  <c r="L11" i="7"/>
  <c r="N11" i="7"/>
  <c r="P11" i="7"/>
  <c r="R11" i="7"/>
  <c r="N11" i="8"/>
  <c r="L11" i="8"/>
  <c r="J11" i="8"/>
  <c r="F11" i="8"/>
  <c r="C17" i="13"/>
  <c r="C19" i="13"/>
  <c r="C21" i="13"/>
  <c r="B9" i="21"/>
  <c r="H11" i="8"/>
  <c r="S9" i="16"/>
  <c r="I5" i="16"/>
  <c r="S8" i="17"/>
  <c r="O9" i="13" l="1"/>
  <c r="O5" i="13"/>
  <c r="O6" i="13"/>
  <c r="O7" i="13"/>
  <c r="O8" i="13"/>
  <c r="Q5" i="13"/>
  <c r="Q6" i="13"/>
  <c r="Q7" i="13"/>
  <c r="Q8" i="13"/>
  <c r="Q9" i="13"/>
  <c r="E5" i="13"/>
  <c r="E6" i="13"/>
  <c r="E7" i="13"/>
  <c r="E8" i="13"/>
  <c r="E9" i="13"/>
  <c r="S11" i="13"/>
  <c r="S6" i="13"/>
  <c r="S7" i="13"/>
  <c r="S8" i="13"/>
  <c r="S9" i="13"/>
  <c r="S5" i="13"/>
  <c r="G9" i="13"/>
  <c r="G5" i="13"/>
  <c r="G6" i="13"/>
  <c r="G7" i="13"/>
  <c r="G8" i="13"/>
  <c r="I8" i="13"/>
  <c r="I5" i="13"/>
  <c r="I6" i="13"/>
  <c r="I7" i="13"/>
  <c r="I9" i="13"/>
  <c r="K5" i="13"/>
  <c r="K9" i="13"/>
  <c r="K6" i="13"/>
  <c r="K7" i="13"/>
  <c r="K8" i="13"/>
  <c r="E5" i="22"/>
  <c r="E6" i="22"/>
  <c r="E7" i="22"/>
  <c r="E8" i="22"/>
  <c r="E9" i="22"/>
  <c r="S9" i="22"/>
  <c r="S5" i="22"/>
  <c r="S6" i="22"/>
  <c r="S7" i="22"/>
  <c r="S8" i="22"/>
  <c r="G5" i="22"/>
  <c r="G6" i="22"/>
  <c r="G7" i="22"/>
  <c r="G8" i="22"/>
  <c r="G9" i="22"/>
  <c r="K9" i="22"/>
  <c r="K5" i="22"/>
  <c r="K6" i="22"/>
  <c r="K7" i="22"/>
  <c r="K8" i="22"/>
  <c r="O5" i="22"/>
  <c r="O6" i="22"/>
  <c r="O7" i="22"/>
  <c r="O8" i="22"/>
  <c r="O9" i="22"/>
  <c r="S23" i="19"/>
  <c r="I8" i="8"/>
  <c r="I7" i="8"/>
  <c r="I6" i="8"/>
  <c r="I5" i="8"/>
  <c r="I9" i="8"/>
  <c r="O8" i="8"/>
  <c r="O7" i="8"/>
  <c r="O6" i="8"/>
  <c r="O5" i="8"/>
  <c r="O9" i="8"/>
  <c r="G8" i="8"/>
  <c r="G7" i="8"/>
  <c r="G6" i="8"/>
  <c r="G5" i="8"/>
  <c r="G9" i="8"/>
  <c r="K8" i="8"/>
  <c r="K7" i="8"/>
  <c r="K6" i="8"/>
  <c r="K5" i="8"/>
  <c r="K9" i="8"/>
  <c r="S9" i="8"/>
  <c r="S8" i="8"/>
  <c r="S7" i="8"/>
  <c r="S6" i="8"/>
  <c r="S5" i="8"/>
  <c r="M8" i="8"/>
  <c r="M7" i="8"/>
  <c r="M6" i="8"/>
  <c r="M5" i="8"/>
  <c r="M9" i="8"/>
  <c r="E9" i="8"/>
  <c r="E8" i="8"/>
  <c r="E7" i="8"/>
  <c r="E6" i="8"/>
  <c r="E5" i="8"/>
  <c r="Q8" i="8"/>
  <c r="Q7" i="8"/>
  <c r="Q6" i="8"/>
  <c r="Q5" i="8"/>
  <c r="Q9" i="8"/>
  <c r="O11" i="22"/>
  <c r="G11" i="22"/>
  <c r="K11" i="22"/>
  <c r="I5" i="15"/>
  <c r="I6" i="15"/>
  <c r="I7" i="15"/>
  <c r="I8" i="15"/>
  <c r="I9" i="15"/>
  <c r="O5" i="15"/>
  <c r="O6" i="15"/>
  <c r="O7" i="15"/>
  <c r="O8" i="15"/>
  <c r="O9" i="15"/>
  <c r="S5" i="15"/>
  <c r="S6" i="15"/>
  <c r="S7" i="15"/>
  <c r="S8" i="15"/>
  <c r="S9" i="15"/>
  <c r="Q5" i="15"/>
  <c r="Q6" i="15"/>
  <c r="Q7" i="15"/>
  <c r="Q8" i="15"/>
  <c r="Q9" i="15"/>
  <c r="K5" i="15"/>
  <c r="K6" i="15"/>
  <c r="K7" i="15"/>
  <c r="K8" i="15"/>
  <c r="K9" i="15"/>
  <c r="M5" i="15"/>
  <c r="M6" i="15"/>
  <c r="M7" i="15"/>
  <c r="M8" i="15"/>
  <c r="M9" i="15"/>
  <c r="B11" i="18"/>
  <c r="C11" i="18" s="1"/>
  <c r="B11" i="17"/>
  <c r="I23" i="7"/>
  <c r="E23" i="7"/>
  <c r="G23" i="16"/>
  <c r="L24" i="13"/>
  <c r="O23" i="13"/>
  <c r="P24" i="7"/>
  <c r="I11" i="17"/>
  <c r="F24" i="7"/>
  <c r="J24" i="7"/>
  <c r="L24" i="7"/>
  <c r="R24" i="7"/>
  <c r="H24" i="7"/>
  <c r="D24" i="7"/>
  <c r="N24" i="7"/>
  <c r="S6" i="17"/>
  <c r="Q23" i="7"/>
  <c r="J24" i="15"/>
  <c r="S23" i="7"/>
  <c r="O23" i="7"/>
  <c r="M23" i="7"/>
  <c r="K23" i="7"/>
  <c r="G23" i="7"/>
  <c r="M6" i="17"/>
  <c r="M8" i="17"/>
  <c r="M11" i="17"/>
  <c r="E23" i="13"/>
  <c r="R24" i="13"/>
  <c r="K23" i="13"/>
  <c r="G5" i="16"/>
  <c r="E8" i="16"/>
  <c r="Q5" i="16"/>
  <c r="E11" i="16"/>
  <c r="O7" i="16"/>
  <c r="S7" i="17"/>
  <c r="O9" i="17"/>
  <c r="G9" i="17"/>
  <c r="G23" i="19"/>
  <c r="K23" i="20"/>
  <c r="C19" i="7"/>
  <c r="C17" i="7"/>
  <c r="G23" i="8"/>
  <c r="M23" i="8"/>
  <c r="B7" i="1"/>
  <c r="O6" i="16"/>
  <c r="B11" i="7"/>
  <c r="C11" i="7" s="1"/>
  <c r="M8" i="16"/>
  <c r="E5" i="16"/>
  <c r="O5" i="16"/>
  <c r="J24" i="13"/>
  <c r="O6" i="17"/>
  <c r="Q23" i="20"/>
  <c r="E11" i="13"/>
  <c r="B11" i="8"/>
  <c r="C11" i="8" s="1"/>
  <c r="B11" i="20"/>
  <c r="C11" i="20" s="1"/>
  <c r="O5" i="17"/>
  <c r="O11" i="17"/>
  <c r="C19" i="15"/>
  <c r="G6" i="16"/>
  <c r="G7" i="16"/>
  <c r="I7" i="17"/>
  <c r="E23" i="8"/>
  <c r="K11" i="13"/>
  <c r="Q11" i="17"/>
  <c r="S9" i="17"/>
  <c r="K9" i="17"/>
  <c r="G8" i="17"/>
  <c r="I6" i="16"/>
  <c r="Q11" i="13"/>
  <c r="S23" i="13"/>
  <c r="Q5" i="17"/>
  <c r="K6" i="17"/>
  <c r="Q7" i="17"/>
  <c r="Q8" i="17"/>
  <c r="S11" i="17"/>
  <c r="C9" i="15"/>
  <c r="M23" i="20"/>
  <c r="E23" i="21"/>
  <c r="C21" i="15"/>
  <c r="Q23" i="8"/>
  <c r="K23" i="8"/>
  <c r="I23" i="8"/>
  <c r="C5" i="19"/>
  <c r="S23" i="8"/>
  <c r="P24" i="15"/>
  <c r="J24" i="8"/>
  <c r="L24" i="15"/>
  <c r="D24" i="15"/>
  <c r="N24" i="8"/>
  <c r="F24" i="8"/>
  <c r="L24" i="8"/>
  <c r="D24" i="8"/>
  <c r="C20" i="15"/>
  <c r="B24" i="15"/>
  <c r="C7" i="19"/>
  <c r="O23" i="8"/>
  <c r="H24" i="15"/>
  <c r="R24" i="8"/>
  <c r="N24" i="15"/>
  <c r="F24" i="15"/>
  <c r="H24" i="8"/>
  <c r="P24" i="8"/>
  <c r="C17" i="15"/>
  <c r="C17" i="8"/>
  <c r="C21" i="8"/>
  <c r="C19" i="8"/>
  <c r="C20" i="8"/>
  <c r="G11" i="13"/>
  <c r="C11" i="15"/>
  <c r="P12" i="15"/>
  <c r="J12" i="15"/>
  <c r="R12" i="15"/>
  <c r="N12" i="15"/>
  <c r="F12" i="15"/>
  <c r="L12" i="15"/>
  <c r="S11" i="8"/>
  <c r="G9" i="7"/>
  <c r="G5" i="7"/>
  <c r="G8" i="7"/>
  <c r="G7" i="7"/>
  <c r="G6" i="7"/>
  <c r="G11" i="7"/>
  <c r="I11" i="15"/>
  <c r="K5" i="16"/>
  <c r="Q23" i="13"/>
  <c r="B11" i="21"/>
  <c r="C8" i="21" s="1"/>
  <c r="E9" i="16"/>
  <c r="M7" i="16"/>
  <c r="I11" i="13"/>
  <c r="H12" i="15"/>
  <c r="G11" i="8"/>
  <c r="S8" i="7"/>
  <c r="S7" i="7"/>
  <c r="S9" i="7"/>
  <c r="S5" i="7"/>
  <c r="S11" i="7"/>
  <c r="S6" i="7"/>
  <c r="K8" i="7"/>
  <c r="K7" i="7"/>
  <c r="K9" i="7"/>
  <c r="K5" i="7"/>
  <c r="K11" i="7"/>
  <c r="K6" i="7"/>
  <c r="O11" i="15"/>
  <c r="G11" i="15"/>
  <c r="O11" i="13"/>
  <c r="G9" i="18"/>
  <c r="G5" i="18"/>
  <c r="G6" i="18"/>
  <c r="G11" i="18"/>
  <c r="G8" i="18"/>
  <c r="G7" i="18"/>
  <c r="O8" i="18"/>
  <c r="O7" i="18"/>
  <c r="O9" i="18"/>
  <c r="O5" i="18"/>
  <c r="O11" i="18"/>
  <c r="O6" i="18"/>
  <c r="K8" i="20"/>
  <c r="K7" i="20"/>
  <c r="K9" i="20"/>
  <c r="K6" i="20"/>
  <c r="K11" i="20"/>
  <c r="S8" i="20"/>
  <c r="S7" i="20"/>
  <c r="S9" i="20"/>
  <c r="S5" i="20"/>
  <c r="S6" i="20"/>
  <c r="S11" i="20"/>
  <c r="I7" i="21"/>
  <c r="I9" i="21"/>
  <c r="I8" i="21"/>
  <c r="I6" i="21"/>
  <c r="I11" i="21"/>
  <c r="I5" i="21"/>
  <c r="Q11" i="21"/>
  <c r="Q6" i="21"/>
  <c r="Q9" i="21"/>
  <c r="Q5" i="21"/>
  <c r="Q7" i="21"/>
  <c r="Q8" i="21"/>
  <c r="I7" i="19"/>
  <c r="I11" i="19"/>
  <c r="I5" i="19"/>
  <c r="I9" i="19"/>
  <c r="I8" i="19"/>
  <c r="I6" i="19"/>
  <c r="H12" i="19"/>
  <c r="Q11" i="19"/>
  <c r="Q6" i="19"/>
  <c r="Q9" i="19"/>
  <c r="Q5" i="19"/>
  <c r="Q7" i="19"/>
  <c r="Q8" i="19"/>
  <c r="P12" i="19"/>
  <c r="M5" i="17"/>
  <c r="G6" i="17"/>
  <c r="Q6" i="17"/>
  <c r="M7" i="17"/>
  <c r="I8" i="17"/>
  <c r="C5" i="15"/>
  <c r="C20" i="7"/>
  <c r="S23" i="20"/>
  <c r="D12" i="19"/>
  <c r="C18" i="15"/>
  <c r="C6" i="19"/>
  <c r="K11" i="8"/>
  <c r="I8" i="7"/>
  <c r="I9" i="7"/>
  <c r="I5" i="7"/>
  <c r="I11" i="7"/>
  <c r="I7" i="7"/>
  <c r="I6" i="7"/>
  <c r="M11" i="15"/>
  <c r="I9" i="18"/>
  <c r="I5" i="18"/>
  <c r="I6" i="18"/>
  <c r="I11" i="18"/>
  <c r="I8" i="18"/>
  <c r="I7" i="18"/>
  <c r="Q8" i="18"/>
  <c r="Q7" i="18"/>
  <c r="Q9" i="18"/>
  <c r="Q5" i="18"/>
  <c r="Q11" i="18"/>
  <c r="Q6" i="18"/>
  <c r="E8" i="20"/>
  <c r="E7" i="20"/>
  <c r="E11" i="20"/>
  <c r="E6" i="20"/>
  <c r="E9" i="20"/>
  <c r="E5" i="20"/>
  <c r="M8" i="20"/>
  <c r="M7" i="20"/>
  <c r="M9" i="20"/>
  <c r="M6" i="20"/>
  <c r="M11" i="20"/>
  <c r="K11" i="21"/>
  <c r="K6" i="21"/>
  <c r="K9" i="21"/>
  <c r="K5" i="21"/>
  <c r="K7" i="21"/>
  <c r="K8" i="21"/>
  <c r="S11" i="21"/>
  <c r="S6" i="21"/>
  <c r="S9" i="21"/>
  <c r="S5" i="21"/>
  <c r="S7" i="21"/>
  <c r="S8" i="21"/>
  <c r="K11" i="19"/>
  <c r="K6" i="19"/>
  <c r="K9" i="19"/>
  <c r="K5" i="19"/>
  <c r="K7" i="19"/>
  <c r="J12" i="19"/>
  <c r="K8" i="19"/>
  <c r="S11" i="19"/>
  <c r="S6" i="19"/>
  <c r="S9" i="19"/>
  <c r="S5" i="19"/>
  <c r="S7" i="19"/>
  <c r="S8" i="19"/>
  <c r="R12" i="19"/>
  <c r="S11" i="22"/>
  <c r="F11" i="1"/>
  <c r="C6" i="15"/>
  <c r="Q8" i="7"/>
  <c r="Q7" i="7"/>
  <c r="Q9" i="7"/>
  <c r="Q5" i="7"/>
  <c r="Q11" i="7"/>
  <c r="Q6" i="7"/>
  <c r="O8" i="7"/>
  <c r="O7" i="7"/>
  <c r="O9" i="7"/>
  <c r="O5" i="7"/>
  <c r="O11" i="7"/>
  <c r="O6" i="7"/>
  <c r="K8" i="18"/>
  <c r="K7" i="18"/>
  <c r="K9" i="18"/>
  <c r="K5" i="18"/>
  <c r="K11" i="18"/>
  <c r="K6" i="18"/>
  <c r="G9" i="20"/>
  <c r="G5" i="20"/>
  <c r="G11" i="20"/>
  <c r="G8" i="20"/>
  <c r="G7" i="20"/>
  <c r="G6" i="20"/>
  <c r="O8" i="20"/>
  <c r="O7" i="20"/>
  <c r="O9" i="20"/>
  <c r="O5" i="20"/>
  <c r="O6" i="20"/>
  <c r="O11" i="20"/>
  <c r="G7" i="21"/>
  <c r="G9" i="21"/>
  <c r="G8" i="21"/>
  <c r="G6" i="21"/>
  <c r="G11" i="21"/>
  <c r="G5" i="21"/>
  <c r="M11" i="21"/>
  <c r="M6" i="21"/>
  <c r="M9" i="21"/>
  <c r="M5" i="21"/>
  <c r="M7" i="21"/>
  <c r="M8" i="21"/>
  <c r="M11" i="19"/>
  <c r="M6" i="19"/>
  <c r="M9" i="19"/>
  <c r="M5" i="19"/>
  <c r="M7" i="19"/>
  <c r="M8" i="19"/>
  <c r="L12" i="19"/>
  <c r="C7" i="15"/>
  <c r="Q23" i="19"/>
  <c r="I11" i="8"/>
  <c r="M11" i="8"/>
  <c r="E11" i="8"/>
  <c r="S11" i="15"/>
  <c r="Q11" i="8"/>
  <c r="S8" i="18"/>
  <c r="S7" i="18"/>
  <c r="S9" i="18"/>
  <c r="S5" i="18"/>
  <c r="S11" i="18"/>
  <c r="S6" i="18"/>
  <c r="E23" i="16"/>
  <c r="O11" i="8"/>
  <c r="M8" i="7"/>
  <c r="M7" i="7"/>
  <c r="M9" i="7"/>
  <c r="M5" i="7"/>
  <c r="M11" i="7"/>
  <c r="M6" i="7"/>
  <c r="E8" i="7"/>
  <c r="E7" i="7"/>
  <c r="E11" i="7"/>
  <c r="E6" i="7"/>
  <c r="E9" i="7"/>
  <c r="E5" i="7"/>
  <c r="Q11" i="15"/>
  <c r="K11" i="15"/>
  <c r="E11" i="15"/>
  <c r="M8" i="18"/>
  <c r="M7" i="18"/>
  <c r="M9" i="18"/>
  <c r="M5" i="18"/>
  <c r="M11" i="18"/>
  <c r="M6" i="18"/>
  <c r="I9" i="20"/>
  <c r="I5" i="20"/>
  <c r="I11" i="20"/>
  <c r="I8" i="20"/>
  <c r="I7" i="20"/>
  <c r="I6" i="20"/>
  <c r="Q8" i="20"/>
  <c r="Q7" i="20"/>
  <c r="Q9" i="20"/>
  <c r="Q5" i="20"/>
  <c r="Q6" i="20"/>
  <c r="Q11" i="20"/>
  <c r="E11" i="21"/>
  <c r="E6" i="21"/>
  <c r="E9" i="21"/>
  <c r="E5" i="21"/>
  <c r="E8" i="21"/>
  <c r="E7" i="21"/>
  <c r="O11" i="21"/>
  <c r="O6" i="21"/>
  <c r="O9" i="21"/>
  <c r="O5" i="21"/>
  <c r="O7" i="21"/>
  <c r="O8" i="21"/>
  <c r="G7" i="19"/>
  <c r="G11" i="19"/>
  <c r="G5" i="19"/>
  <c r="G9" i="19"/>
  <c r="G8" i="19"/>
  <c r="G6" i="19"/>
  <c r="F12" i="19"/>
  <c r="O11" i="19"/>
  <c r="O6" i="19"/>
  <c r="O9" i="19"/>
  <c r="O5" i="19"/>
  <c r="O7" i="19"/>
  <c r="O8" i="19"/>
  <c r="N12" i="19"/>
  <c r="C8" i="15"/>
  <c r="H11" i="1"/>
  <c r="I8" i="1" s="1"/>
  <c r="I23" i="19"/>
  <c r="O23" i="20"/>
  <c r="C18" i="7"/>
  <c r="G23" i="20"/>
  <c r="I23" i="21"/>
  <c r="C9" i="19"/>
  <c r="C8" i="19"/>
  <c r="S23" i="21"/>
  <c r="Q23" i="21"/>
  <c r="M23" i="21"/>
  <c r="G23" i="21"/>
  <c r="C19" i="21"/>
  <c r="R24" i="21"/>
  <c r="P24" i="21"/>
  <c r="N24" i="21"/>
  <c r="J24" i="21"/>
  <c r="F24" i="21"/>
  <c r="L24" i="21"/>
  <c r="H24" i="21"/>
  <c r="D24" i="21"/>
  <c r="C20" i="21"/>
  <c r="O23" i="21"/>
  <c r="C18" i="21"/>
  <c r="K23" i="21"/>
  <c r="C21" i="21"/>
  <c r="C17" i="21"/>
  <c r="R24" i="20"/>
  <c r="N24" i="20"/>
  <c r="L24" i="20"/>
  <c r="C21" i="20"/>
  <c r="H24" i="20"/>
  <c r="J24" i="20"/>
  <c r="C19" i="20"/>
  <c r="F24" i="20"/>
  <c r="C20" i="20"/>
  <c r="C17" i="20"/>
  <c r="C18" i="20"/>
  <c r="D24" i="20"/>
  <c r="I23" i="20"/>
  <c r="E23" i="20"/>
  <c r="C20" i="19"/>
  <c r="O23" i="19"/>
  <c r="P24" i="19"/>
  <c r="M23" i="19"/>
  <c r="R24" i="19"/>
  <c r="C21" i="19"/>
  <c r="F24" i="19"/>
  <c r="K23" i="19"/>
  <c r="C17" i="19"/>
  <c r="J24" i="19"/>
  <c r="H24" i="19"/>
  <c r="D24" i="19"/>
  <c r="C18" i="19"/>
  <c r="N24" i="19"/>
  <c r="E23" i="19"/>
  <c r="B23" i="18"/>
  <c r="D24" i="18" s="1"/>
  <c r="C11" i="17"/>
  <c r="E9" i="17"/>
  <c r="E5" i="17"/>
  <c r="Q6" i="16"/>
  <c r="Q8" i="16"/>
  <c r="Q7" i="16"/>
  <c r="Q11" i="16"/>
  <c r="I23" i="16"/>
  <c r="S5" i="16"/>
  <c r="R11" i="1"/>
  <c r="S9" i="1" s="1"/>
  <c r="S6" i="16"/>
  <c r="S7" i="16"/>
  <c r="S8" i="16"/>
  <c r="O8" i="16"/>
  <c r="O9" i="16"/>
  <c r="N11" i="1"/>
  <c r="O9" i="1" s="1"/>
  <c r="K6" i="16"/>
  <c r="K8" i="16"/>
  <c r="K9" i="16"/>
  <c r="K7" i="16"/>
  <c r="G8" i="16"/>
  <c r="B11" i="16"/>
  <c r="F12" i="16" s="1"/>
  <c r="G9" i="16"/>
  <c r="E6" i="16"/>
  <c r="Q23" i="16"/>
  <c r="D24" i="16"/>
  <c r="N24" i="13"/>
  <c r="M23" i="13"/>
  <c r="I23" i="13"/>
  <c r="G23" i="13"/>
  <c r="D24" i="13"/>
  <c r="N23" i="1"/>
  <c r="O21" i="1" s="1"/>
  <c r="J11" i="1"/>
  <c r="K9" i="1" s="1"/>
  <c r="B8" i="1"/>
  <c r="P23" i="1"/>
  <c r="Q21" i="1" s="1"/>
  <c r="R23" i="1"/>
  <c r="S20" i="1" s="1"/>
  <c r="D23" i="1"/>
  <c r="E20" i="1" s="1"/>
  <c r="B5" i="1"/>
  <c r="B6" i="1"/>
  <c r="J23" i="1"/>
  <c r="K19" i="1" s="1"/>
  <c r="F23" i="1"/>
  <c r="G17" i="1" s="1"/>
  <c r="O23" i="16"/>
  <c r="M23" i="16"/>
  <c r="K23" i="16"/>
  <c r="B17" i="1"/>
  <c r="P24" i="13"/>
  <c r="H24" i="13"/>
  <c r="H23" i="1"/>
  <c r="I21" i="1" s="1"/>
  <c r="B23" i="22"/>
  <c r="R24" i="22" s="1"/>
  <c r="D11" i="1"/>
  <c r="E11" i="1" s="1"/>
  <c r="P11" i="1"/>
  <c r="E11" i="22"/>
  <c r="M6" i="16"/>
  <c r="M9" i="16"/>
  <c r="M5" i="16"/>
  <c r="S23" i="16"/>
  <c r="I8" i="16"/>
  <c r="I9" i="16"/>
  <c r="I7" i="16"/>
  <c r="B9" i="13"/>
  <c r="L11" i="13"/>
  <c r="B9" i="22"/>
  <c r="H11" i="22"/>
  <c r="L11" i="22"/>
  <c r="P11" i="22"/>
  <c r="K5" i="17"/>
  <c r="I6" i="17"/>
  <c r="G7" i="17"/>
  <c r="O7" i="17"/>
  <c r="E8" i="17"/>
  <c r="I9" i="17"/>
  <c r="G5" i="17"/>
  <c r="E6" i="17"/>
  <c r="K7" i="17"/>
  <c r="K8" i="17"/>
  <c r="D12" i="15"/>
  <c r="E7" i="17"/>
  <c r="C6" i="20" l="1"/>
  <c r="D12" i="18"/>
  <c r="P12" i="18"/>
  <c r="C7" i="18"/>
  <c r="M5" i="13"/>
  <c r="M6" i="13"/>
  <c r="M7" i="13"/>
  <c r="M8" i="13"/>
  <c r="M9" i="13"/>
  <c r="I5" i="22"/>
  <c r="I6" i="22"/>
  <c r="I7" i="22"/>
  <c r="I8" i="22"/>
  <c r="I9" i="22"/>
  <c r="Q5" i="22"/>
  <c r="Q6" i="22"/>
  <c r="Q7" i="22"/>
  <c r="Q8" i="22"/>
  <c r="Q9" i="22"/>
  <c r="M5" i="22"/>
  <c r="M6" i="22"/>
  <c r="M7" i="22"/>
  <c r="M8" i="22"/>
  <c r="M9" i="22"/>
  <c r="G23" i="18"/>
  <c r="C8" i="18"/>
  <c r="J12" i="18"/>
  <c r="C6" i="18"/>
  <c r="C6" i="8"/>
  <c r="D12" i="7"/>
  <c r="C5" i="20"/>
  <c r="N12" i="18"/>
  <c r="H12" i="8"/>
  <c r="C8" i="8"/>
  <c r="C5" i="8"/>
  <c r="R12" i="8"/>
  <c r="C9" i="8"/>
  <c r="C9" i="20"/>
  <c r="C7" i="8"/>
  <c r="P12" i="8"/>
  <c r="C23" i="7"/>
  <c r="M23" i="18"/>
  <c r="C9" i="7"/>
  <c r="C8" i="7"/>
  <c r="C7" i="7"/>
  <c r="F12" i="8"/>
  <c r="K23" i="18"/>
  <c r="C17" i="22"/>
  <c r="I5" i="1"/>
  <c r="H12" i="17"/>
  <c r="C5" i="17"/>
  <c r="L12" i="18"/>
  <c r="H12" i="18"/>
  <c r="C9" i="18"/>
  <c r="F12" i="18"/>
  <c r="R12" i="18"/>
  <c r="C5" i="18"/>
  <c r="C8" i="20"/>
  <c r="C7" i="20"/>
  <c r="F12" i="21"/>
  <c r="P12" i="21"/>
  <c r="C6" i="21"/>
  <c r="J12" i="21"/>
  <c r="R12" i="21"/>
  <c r="B12" i="21"/>
  <c r="H12" i="21"/>
  <c r="L12" i="7"/>
  <c r="F12" i="7"/>
  <c r="R12" i="7"/>
  <c r="H12" i="7"/>
  <c r="P12" i="7"/>
  <c r="C6" i="7"/>
  <c r="C5" i="7"/>
  <c r="N12" i="7"/>
  <c r="B12" i="7"/>
  <c r="J12" i="7"/>
  <c r="D12" i="8"/>
  <c r="N12" i="8"/>
  <c r="L12" i="8"/>
  <c r="J12" i="8"/>
  <c r="B12" i="8"/>
  <c r="C23" i="15"/>
  <c r="I11" i="1"/>
  <c r="I7" i="1"/>
  <c r="S8" i="1"/>
  <c r="S6" i="1"/>
  <c r="K5" i="1"/>
  <c r="G9" i="1"/>
  <c r="G11" i="1"/>
  <c r="C9" i="17"/>
  <c r="G8" i="1"/>
  <c r="K8" i="1"/>
  <c r="O7" i="1"/>
  <c r="P12" i="17"/>
  <c r="C23" i="20"/>
  <c r="C20" i="22"/>
  <c r="S17" i="1"/>
  <c r="C9" i="21"/>
  <c r="I23" i="18"/>
  <c r="C23" i="8"/>
  <c r="N12" i="17"/>
  <c r="K6" i="1"/>
  <c r="I6" i="1"/>
  <c r="I9" i="1"/>
  <c r="L12" i="21"/>
  <c r="C11" i="21"/>
  <c r="D12" i="21"/>
  <c r="N12" i="21"/>
  <c r="G6" i="1"/>
  <c r="K11" i="1"/>
  <c r="G5" i="1"/>
  <c r="C7" i="21"/>
  <c r="C5" i="21"/>
  <c r="C23" i="21"/>
  <c r="C23" i="19"/>
  <c r="S23" i="18"/>
  <c r="Q23" i="18"/>
  <c r="O23" i="18"/>
  <c r="E23" i="18"/>
  <c r="J24" i="18"/>
  <c r="N24" i="18"/>
  <c r="H24" i="18"/>
  <c r="F24" i="18"/>
  <c r="L24" i="18"/>
  <c r="R24" i="18"/>
  <c r="P24" i="18"/>
  <c r="C19" i="18"/>
  <c r="C21" i="18"/>
  <c r="C20" i="18"/>
  <c r="C17" i="18"/>
  <c r="C18" i="18"/>
  <c r="J12" i="17"/>
  <c r="R12" i="17"/>
  <c r="L12" i="17"/>
  <c r="F12" i="17"/>
  <c r="B12" i="17"/>
  <c r="C6" i="17"/>
  <c r="C7" i="17"/>
  <c r="D12" i="17"/>
  <c r="C8" i="17"/>
  <c r="G7" i="1"/>
  <c r="S7" i="1"/>
  <c r="S5" i="1"/>
  <c r="S11" i="1"/>
  <c r="O8" i="1"/>
  <c r="O11" i="1"/>
  <c r="O6" i="1"/>
  <c r="O5" i="1"/>
  <c r="R12" i="16"/>
  <c r="H12" i="16"/>
  <c r="D12" i="16"/>
  <c r="L12" i="16"/>
  <c r="C5" i="16"/>
  <c r="B12" i="16"/>
  <c r="C7" i="16"/>
  <c r="N12" i="16"/>
  <c r="C11" i="16"/>
  <c r="C6" i="16"/>
  <c r="J12" i="16"/>
  <c r="P12" i="16"/>
  <c r="C8" i="16"/>
  <c r="C9" i="16"/>
  <c r="O20" i="1"/>
  <c r="Q17" i="1"/>
  <c r="Q19" i="1"/>
  <c r="S21" i="1"/>
  <c r="O17" i="1"/>
  <c r="O23" i="1"/>
  <c r="O19" i="1"/>
  <c r="O18" i="1"/>
  <c r="G19" i="1"/>
  <c r="S23" i="1"/>
  <c r="S18" i="1"/>
  <c r="S19" i="1"/>
  <c r="E6" i="1"/>
  <c r="E8" i="1"/>
  <c r="E9" i="1"/>
  <c r="K7" i="1"/>
  <c r="Q20" i="1"/>
  <c r="E18" i="1"/>
  <c r="Q23" i="1"/>
  <c r="Q18" i="1"/>
  <c r="E21" i="1"/>
  <c r="E17" i="1"/>
  <c r="G23" i="1"/>
  <c r="E23" i="1"/>
  <c r="K18" i="1"/>
  <c r="E19" i="1"/>
  <c r="K20" i="1"/>
  <c r="G20" i="1"/>
  <c r="G21" i="1"/>
  <c r="G18" i="1"/>
  <c r="E7" i="1"/>
  <c r="E5" i="1"/>
  <c r="K21" i="1"/>
  <c r="K23" i="1"/>
  <c r="K17" i="1"/>
  <c r="I17" i="1"/>
  <c r="I19" i="1"/>
  <c r="I18" i="1"/>
  <c r="I23" i="1"/>
  <c r="I20" i="1"/>
  <c r="C21" i="22"/>
  <c r="F24" i="22"/>
  <c r="P24" i="22"/>
  <c r="C23" i="22"/>
  <c r="L24" i="22"/>
  <c r="N24" i="22"/>
  <c r="B24" i="22"/>
  <c r="C18" i="22"/>
  <c r="J24" i="22"/>
  <c r="H24" i="22"/>
  <c r="D24" i="22"/>
  <c r="C19" i="22"/>
  <c r="Q7" i="1"/>
  <c r="Q11" i="1"/>
  <c r="Q5" i="1"/>
  <c r="Q8" i="1"/>
  <c r="Q6" i="1"/>
  <c r="Q9" i="1"/>
  <c r="L11" i="1"/>
  <c r="B9" i="1"/>
  <c r="M11" i="13"/>
  <c r="B11" i="13"/>
  <c r="Q11" i="22"/>
  <c r="M11" i="22"/>
  <c r="L23" i="1"/>
  <c r="M21" i="1" s="1"/>
  <c r="B11" i="22"/>
  <c r="L12" i="22" s="1"/>
  <c r="I11" i="22"/>
  <c r="C19" i="16"/>
  <c r="H24" i="16"/>
  <c r="B24" i="16"/>
  <c r="R24" i="16"/>
  <c r="C18" i="16"/>
  <c r="L24" i="16"/>
  <c r="F24" i="16"/>
  <c r="C21" i="16"/>
  <c r="C23" i="16"/>
  <c r="C17" i="16"/>
  <c r="P24" i="16"/>
  <c r="J24" i="16"/>
  <c r="C20" i="16"/>
  <c r="N24" i="16"/>
  <c r="C23" i="18" l="1"/>
  <c r="H12" i="22"/>
  <c r="C9" i="22"/>
  <c r="C11" i="13"/>
  <c r="C8" i="13"/>
  <c r="C5" i="13"/>
  <c r="H12" i="13"/>
  <c r="C6" i="13"/>
  <c r="B12" i="13"/>
  <c r="R12" i="13"/>
  <c r="C7" i="13"/>
  <c r="F12" i="13"/>
  <c r="N12" i="13"/>
  <c r="J12" i="13"/>
  <c r="P12" i="13"/>
  <c r="D12" i="13"/>
  <c r="B11" i="1"/>
  <c r="C9" i="13"/>
  <c r="M7" i="1"/>
  <c r="M6" i="1"/>
  <c r="M5" i="1"/>
  <c r="M11" i="1"/>
  <c r="M8" i="1"/>
  <c r="N12" i="22"/>
  <c r="C8" i="22"/>
  <c r="R12" i="22"/>
  <c r="C11" i="22"/>
  <c r="C6" i="22"/>
  <c r="F12" i="22"/>
  <c r="C7" i="22"/>
  <c r="J12" i="22"/>
  <c r="B12" i="22"/>
  <c r="C5" i="22"/>
  <c r="D12" i="22"/>
  <c r="M18" i="1"/>
  <c r="M20" i="1"/>
  <c r="M23" i="1"/>
  <c r="M19" i="1"/>
  <c r="M17" i="1"/>
  <c r="B23" i="1"/>
  <c r="L24" i="1" s="1"/>
  <c r="M9" i="1"/>
  <c r="P12" i="22"/>
  <c r="L12" i="13"/>
  <c r="C21" i="1" l="1"/>
  <c r="C11" i="1"/>
  <c r="P12" i="1"/>
  <c r="D12" i="1"/>
  <c r="C7" i="1"/>
  <c r="C5" i="1"/>
  <c r="H12" i="1"/>
  <c r="B12" i="1"/>
  <c r="C6" i="1"/>
  <c r="R12" i="1"/>
  <c r="N12" i="1"/>
  <c r="J12" i="1"/>
  <c r="F12" i="1"/>
  <c r="C8" i="1"/>
  <c r="F24" i="1"/>
  <c r="R24" i="1"/>
  <c r="H24" i="1"/>
  <c r="C17" i="1"/>
  <c r="B24" i="1"/>
  <c r="N24" i="1"/>
  <c r="P24" i="1"/>
  <c r="C23" i="1"/>
  <c r="C19" i="1"/>
  <c r="C20" i="1"/>
  <c r="D24" i="1"/>
  <c r="J24" i="1"/>
  <c r="C18" i="1"/>
  <c r="L12" i="1"/>
  <c r="C9" i="1"/>
  <c r="B23" i="17"/>
  <c r="H24" i="17" l="1"/>
  <c r="M23" i="17"/>
  <c r="C21" i="17"/>
  <c r="R24" i="17"/>
  <c r="Q23" i="17"/>
  <c r="G23" i="17"/>
  <c r="C18" i="17"/>
  <c r="P24" i="17"/>
  <c r="S23" i="17"/>
  <c r="B24" i="17"/>
  <c r="E23" i="17"/>
  <c r="L24" i="17"/>
  <c r="C20" i="17"/>
  <c r="F24" i="17"/>
  <c r="K23" i="17"/>
  <c r="N24" i="17"/>
  <c r="C19" i="17"/>
  <c r="C17" i="17"/>
  <c r="D24" i="17"/>
  <c r="I23" i="17"/>
  <c r="O23" i="17"/>
  <c r="C23" i="17"/>
  <c r="J24" i="17"/>
</calcChain>
</file>

<file path=xl/sharedStrings.xml><?xml version="1.0" encoding="utf-8"?>
<sst xmlns="http://schemas.openxmlformats.org/spreadsheetml/2006/main" count="908" uniqueCount="35">
  <si>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</si>
  <si>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</si>
  <si>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</si>
  <si>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</si>
  <si>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</si>
  <si>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</si>
  <si>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</si>
  <si>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</si>
  <si>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</si>
  <si>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Αριθμός</t>
  </si>
  <si>
    <t>%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</si>
  <si>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</si>
  <si>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</si>
  <si>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</si>
  <si>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</si>
  <si>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</si>
  <si>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</si>
  <si>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 xml:space="preserve">% στο σύνολο </t>
  </si>
  <si>
    <t xml:space="preserve">Αριθμός </t>
  </si>
  <si>
    <t>Αρ.</t>
  </si>
  <si>
    <t>53R /Table 8</t>
  </si>
  <si>
    <t>Τριτοβάθμια Εκπαίδ.</t>
  </si>
  <si>
    <t>ΠΙΝΑΚΑΣ 11 (1): ΑΝΕΡΓΙΑ ΚΑΤΑ ΗΛΙΚΙΑ ΚΑΙ ΜΟΡΦΩΤΙΚΟ ΕΠΙΠΕΔΟ ΚΑΤΑ ΤΟΝ ΙΑΝΟΥΑΡΙΟ ΤΟΥ 2019 ΚΑΙ 2020</t>
  </si>
  <si>
    <t>ΠΙΝΑΚΑΣ 11(2): ΑΝΕΡΓΙΑ ΚΑΤΑ ΗΛΙΚΙΑ ΚΑΙ ΜΟΡΦΩΤΙΚΟ ΕΠΙΠΕΔΟ ΚΑΤΑ ΤΟΝ ΦΕΒΡΟΥΑΡΙΟ ΤΟΥ 2019 ΚΑΙ 2020</t>
  </si>
  <si>
    <r>
      <t xml:space="preserve">ΠΙΝΑΚΑΣ 11 (3): ΑΝΕΡΓΙΑ ΚΑΤΑ ΗΛΙΚΙΑ ΚΑΙ ΜΟΡΦΩΤΙΚΟ ΕΠΙΠΕΔΟ ΚΑΤΑ ΤΟ </t>
    </r>
    <r>
      <rPr>
        <b/>
        <sz val="10"/>
        <rFont val="Arial"/>
        <family val="2"/>
        <charset val="161"/>
      </rPr>
      <t>ΜΑΡΤΙΟ</t>
    </r>
    <r>
      <rPr>
        <b/>
        <sz val="10"/>
        <rFont val="Arial"/>
        <family val="2"/>
      </rPr>
      <t xml:space="preserve"> ΤΟΥ 2019 ΚΑΙ 2020</t>
    </r>
  </si>
  <si>
    <t>ΠΙΝΑΚΑΣ 11 (4): ΑΝΕΡΓΙΑ ΚΑΤΑ ΗΛΙΚΙΑ ΚΑΙ ΜΟΡΦΩΤΙΚΟ ΕΠΙΠΕΔΟ ΚΑΤΑ ΤΟΝ ΑΠΡΙΛΙΟ ΤΟΥ 2019 ΚΑΙ 2020</t>
  </si>
  <si>
    <t>ΠΙΝΑΚΑΣ 11 (5) : ΑΝΕΡΓΙΑ ΚΑΤΑ ΗΛΙΚΙΑ ΚΑΙ ΜΟΡΦΩΤΙΚΟ ΕΠΙΠΕΔΟ ΚΑΤΑ ΤΟΝ ΜΑΪΟ ΤΟΥ 2019 ΚΑΙ 2020</t>
  </si>
  <si>
    <t>ΠΙΝΑΚΑΣ 11 (7): ΑΝΕΡΓΙΑ ΚΑΤΑ ΗΛΙΚΙΑ ΚΑΙ ΜΟΡΦΩΤΙΚΟ ΕΠΙΠΕΔΟ ΚΑΤΑ ΤΟΝ ΙΟΥΛΙΟ ΤΟΥ 2019 ΚΑΙ 2020</t>
  </si>
  <si>
    <t>ΠΙΝΑΚΑΣ 11 (8): ΑΝΕΡΓΙΑ ΚΑΤΑ ΗΛΙΚΙΑ ΚΑΙ ΜΟΡΦΩΤΙΚΟ ΕΠΙΠΕΔΟ ΚΑΤΑ ΤΟΝ ΑΥΓΟΥΣΤΟ ΤΟΥ 2019 ΚΑΙ 2020</t>
  </si>
  <si>
    <t>ΠΙΝΑΚΑΣ 11 (9): ΑΝΕΡΓΙΑ ΚΑΤΑ ΗΛΙΚΙΑ ΚΑΙ ΜΟΡΦΩΤΙΚΟ ΕΠΙΠΕΔΟ - ΣΕΠΤΕΜΒΡΙΟΣ ΤΟΥ 2019 ΚΑΙ 2020</t>
  </si>
  <si>
    <t>ΠΙΝΑΚΑΣ 11 (10): ΑΝΕΡΓΙΑ ΚΑΤΑ ΗΛΙΚΙΑ ΚΑΙ ΜΟΡΦΩΤΙΚΟ ΕΠΙΠΕΔΟ ΚΑΤΑ ΤΟΝ ΟΚΤΩΒΡΙΟ ΤΟΥ 2019 ΚΑΙ 2020</t>
  </si>
  <si>
    <t>ΠΙΝΑΚΑΣ 11 (11): ΑΝΕΡΓΙΑ ΚΑΤΑ ΗΛΙΚΙΑ ΚΑΙ ΜΟΡΦΩΤΙΚΟ ΕΠΙΠΕΔΟ ΚΑΤΑ ΤΟ ΝΟΕΜΒΡΙΟ ΤΟΥ 2019 ΚΑΙ 2020</t>
  </si>
  <si>
    <t>ΠΙΝΑΚΑΣ 11 (12): ΑΝΕΡΓΙΑ ΚΑΤΑ ΗΛΙΚΙΑ ΚΑΙ ΜΟΡΦΩΤΙΚΟ ΕΠΙΠΕΔΟ - ΔΕΚΕΜΒΡΙΟΣ ΤΟΥ 2019 ΚΑΙ 2020</t>
  </si>
  <si>
    <t>ΠΙΝΑΚΑΣ 11 (6): ΑΝΕΡΓΙΑ ΚΑΤΑ ΗΛΙΚΙΑ ΚΑΙ ΜΟΡΦΩΤΙΚΟ ΕΠΙΠΕΔΟ ΚΑΤΑ ΤΟΝ ΙΟΥΝΙΟ ΤΟΥ 2019 ΚΑΙ 2020</t>
  </si>
  <si>
    <r>
      <t>ΠΙΝΑΚΑΣ 11:</t>
    </r>
    <r>
      <rPr>
        <b/>
        <sz val="10"/>
        <color rgb="FFFF0000"/>
        <rFont val="Arial"/>
        <family val="2"/>
        <charset val="161"/>
      </rPr>
      <t xml:space="preserve"> </t>
    </r>
    <r>
      <rPr>
        <b/>
        <u/>
        <sz val="10"/>
        <color rgb="FFFF0000"/>
        <rFont val="Arial"/>
        <family val="2"/>
        <charset val="161"/>
      </rPr>
      <t xml:space="preserve">ΕΤΗΣΙΑ </t>
    </r>
    <r>
      <rPr>
        <b/>
        <sz val="10"/>
        <rFont val="Arial"/>
        <family val="2"/>
      </rPr>
      <t>ΑΝΕΡΓΙΑ ΚΑΤΑ ΗΛΙΚΙΑ ΚΑΙ ΜΟΡΦΩΤΙΚΟ ΕΠΙΠΕΔΟ ΚΑΤΑ ΤΟ 2019 ΚΑΙ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</si>
</sst>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61"/>
    </font>
    <font>
      <sz val="11"/>
      <name val="Calibri"/>
      <family val="2"/>
      <charset val="161"/>
      <scheme val="minor"/>
    </font>
    <font>
      <b/>
      <u/>
      <sz val="10"/>
      <color rgb="FFFF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3" fontId="0" fillId="0" borderId="0" xfId="0" applyNumberFormat="1" applyBorder="1"/>
    <xf numFmtId="0" fontId="0" fillId="0" borderId="0" xfId="0" applyBorder="1"/>
    <xf numFmtId="9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0" fillId="0" borderId="6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9" fontId="0" fillId="0" borderId="0" xfId="10" applyFont="1"/>
    <xf numFmtId="9" fontId="0" fillId="0" borderId="0" xfId="10" applyFont="1" applyBorder="1"/>
    <xf numFmtId="1" fontId="2" fillId="0" borderId="0" xfId="0" applyNumberFormat="1" applyFont="1" applyBorder="1"/>
    <xf numFmtId="1" fontId="0" fillId="0" borderId="0" xfId="0" applyNumberFormat="1"/>
    <xf numFmtId="9" fontId="5" fillId="0" borderId="8" xfId="0" applyNumberFormat="1" applyFont="1" applyBorder="1"/>
    <xf numFmtId="9" fontId="5" fillId="0" borderId="10" xfId="0" applyNumberFormat="1" applyFont="1" applyBorder="1"/>
    <xf numFmtId="9" fontId="5" fillId="0" borderId="12" xfId="0" applyNumberFormat="1" applyFont="1" applyBorder="1"/>
    <xf numFmtId="0" fontId="4" fillId="0" borderId="0" xfId="3"/>
    <xf numFmtId="0" fontId="2" fillId="0" borderId="0" xfId="3" applyFont="1"/>
    <xf numFmtId="0" fontId="3" fillId="0" borderId="0" xfId="3" applyFont="1"/>
    <xf numFmtId="0" fontId="5" fillId="0" borderId="0" xfId="3" applyFont="1"/>
    <xf numFmtId="0" fontId="4" fillId="0" borderId="0" xfId="0" applyFont="1"/>
    <xf numFmtId="9" fontId="0" fillId="0" borderId="0" xfId="0" applyNumberFormat="1"/>
    <xf numFmtId="3" fontId="5" fillId="0" borderId="1" xfId="0" applyNumberFormat="1" applyFont="1" applyBorder="1"/>
    <xf numFmtId="3" fontId="5" fillId="0" borderId="7" xfId="0" applyNumberFormat="1" applyFont="1" applyBorder="1"/>
    <xf numFmtId="0" fontId="5" fillId="0" borderId="0" xfId="0" applyFont="1" applyBorder="1"/>
    <xf numFmtId="9" fontId="5" fillId="0" borderId="2" xfId="0" applyNumberFormat="1" applyFont="1" applyBorder="1"/>
    <xf numFmtId="9" fontId="5" fillId="0" borderId="13" xfId="0" applyNumberFormat="1" applyFont="1" applyBorder="1"/>
    <xf numFmtId="0" fontId="5" fillId="0" borderId="1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/>
    <xf numFmtId="9" fontId="5" fillId="0" borderId="3" xfId="0" applyNumberFormat="1" applyFont="1" applyFill="1" applyBorder="1"/>
    <xf numFmtId="9" fontId="5" fillId="0" borderId="13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3" fontId="5" fillId="0" borderId="8" xfId="0" applyNumberFormat="1" applyFont="1" applyFill="1" applyBorder="1"/>
    <xf numFmtId="3" fontId="5" fillId="0" borderId="14" xfId="0" applyNumberFormat="1" applyFont="1" applyBorder="1"/>
    <xf numFmtId="0" fontId="5" fillId="0" borderId="9" xfId="0" applyFont="1" applyBorder="1"/>
    <xf numFmtId="0" fontId="5" fillId="0" borderId="11" xfId="0" applyFont="1" applyBorder="1"/>
    <xf numFmtId="3" fontId="5" fillId="0" borderId="5" xfId="0" applyNumberFormat="1" applyFont="1" applyBorder="1"/>
    <xf numFmtId="9" fontId="5" fillId="0" borderId="6" xfId="0" applyNumberFormat="1" applyFont="1" applyBorder="1"/>
    <xf numFmtId="9" fontId="5" fillId="0" borderId="5" xfId="0" applyNumberFormat="1" applyFont="1" applyBorder="1"/>
    <xf numFmtId="3" fontId="5" fillId="0" borderId="0" xfId="0" applyNumberFormat="1" applyFont="1" applyBorder="1"/>
    <xf numFmtId="3" fontId="5" fillId="0" borderId="6" xfId="0" applyNumberFormat="1" applyFont="1" applyFill="1" applyBorder="1"/>
    <xf numFmtId="3" fontId="5" fillId="0" borderId="11" xfId="0" applyNumberFormat="1" applyFont="1" applyBorder="1"/>
    <xf numFmtId="3" fontId="5" fillId="0" borderId="0" xfId="0" applyNumberFormat="1" applyFont="1" applyFill="1" applyBorder="1"/>
    <xf numFmtId="0" fontId="5" fillId="0" borderId="2" xfId="0" applyFont="1" applyBorder="1"/>
    <xf numFmtId="9" fontId="5" fillId="0" borderId="3" xfId="0" applyNumberFormat="1" applyFont="1" applyBorder="1"/>
    <xf numFmtId="9" fontId="5" fillId="0" borderId="17" xfId="0" applyNumberFormat="1" applyFont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/>
    <xf numFmtId="9" fontId="5" fillId="0" borderId="8" xfId="0" applyNumberFormat="1" applyFont="1" applyFill="1" applyBorder="1"/>
    <xf numFmtId="0" fontId="5" fillId="0" borderId="9" xfId="0" applyFont="1" applyFill="1" applyBorder="1"/>
    <xf numFmtId="3" fontId="5" fillId="0" borderId="10" xfId="0" applyNumberFormat="1" applyFont="1" applyFill="1" applyBorder="1"/>
    <xf numFmtId="9" fontId="5" fillId="0" borderId="10" xfId="0" applyNumberFormat="1" applyFont="1" applyFill="1" applyBorder="1"/>
    <xf numFmtId="3" fontId="5" fillId="0" borderId="12" xfId="0" applyNumberFormat="1" applyFont="1" applyFill="1" applyBorder="1"/>
    <xf numFmtId="9" fontId="5" fillId="0" borderId="12" xfId="0" applyNumberFormat="1" applyFont="1" applyFill="1" applyBorder="1"/>
    <xf numFmtId="3" fontId="5" fillId="0" borderId="5" xfId="0" applyNumberFormat="1" applyFont="1" applyFill="1" applyBorder="1"/>
    <xf numFmtId="9" fontId="5" fillId="0" borderId="6" xfId="0" applyNumberFormat="1" applyFont="1" applyFill="1" applyBorder="1"/>
    <xf numFmtId="3" fontId="5" fillId="0" borderId="1" xfId="0" applyNumberFormat="1" applyFont="1" applyFill="1" applyBorder="1"/>
    <xf numFmtId="9" fontId="5" fillId="0" borderId="5" xfId="0" applyNumberFormat="1" applyFont="1" applyFill="1" applyBorder="1"/>
    <xf numFmtId="3" fontId="5" fillId="0" borderId="7" xfId="0" applyNumberFormat="1" applyFont="1" applyFill="1" applyBorder="1"/>
    <xf numFmtId="3" fontId="5" fillId="0" borderId="11" xfId="0" applyNumberFormat="1" applyFont="1" applyFill="1" applyBorder="1"/>
    <xf numFmtId="3" fontId="5" fillId="0" borderId="3" xfId="0" applyNumberFormat="1" applyFont="1" applyFill="1" applyBorder="1"/>
    <xf numFmtId="9" fontId="5" fillId="0" borderId="20" xfId="0" applyNumberFormat="1" applyFont="1" applyBorder="1"/>
    <xf numFmtId="3" fontId="5" fillId="0" borderId="20" xfId="0" applyNumberFormat="1" applyFont="1" applyFill="1" applyBorder="1"/>
    <xf numFmtId="9" fontId="5" fillId="0" borderId="21" xfId="0" applyNumberFormat="1" applyFont="1" applyBorder="1"/>
    <xf numFmtId="9" fontId="5" fillId="0" borderId="20" xfId="0" applyNumberFormat="1" applyFont="1" applyFill="1" applyBorder="1"/>
    <xf numFmtId="9" fontId="5" fillId="0" borderId="1" xfId="0" applyNumberFormat="1" applyFont="1" applyBorder="1"/>
    <xf numFmtId="9" fontId="5" fillId="0" borderId="18" xfId="0" applyNumberFormat="1" applyFont="1" applyBorder="1"/>
    <xf numFmtId="9" fontId="5" fillId="0" borderId="7" xfId="0" applyNumberFormat="1" applyFont="1" applyBorder="1"/>
    <xf numFmtId="9" fontId="0" fillId="0" borderId="11" xfId="0" applyNumberFormat="1" applyFill="1" applyBorder="1"/>
    <xf numFmtId="0" fontId="1" fillId="0" borderId="0" xfId="0" applyFont="1"/>
    <xf numFmtId="0" fontId="1" fillId="0" borderId="0" xfId="3" applyFont="1"/>
    <xf numFmtId="0" fontId="1" fillId="0" borderId="0" xfId="0" applyFont="1" applyFill="1"/>
    <xf numFmtId="3" fontId="5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0" fontId="3" fillId="0" borderId="22" xfId="0" applyFont="1" applyBorder="1"/>
    <xf numFmtId="0" fontId="9" fillId="0" borderId="22" xfId="0" applyFont="1" applyBorder="1"/>
    <xf numFmtId="0" fontId="1" fillId="0" borderId="22" xfId="0" applyFont="1" applyBorder="1"/>
    <xf numFmtId="0" fontId="2" fillId="0" borderId="19" xfId="0" applyFont="1" applyBorder="1"/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1">
    <cellStyle name="Normal" xfId="0" builtinId="0"/>
    <cellStyle name="Normal 10" xfId="1"/>
    <cellStyle name="Normal 11" xfId="2"/>
    <cellStyle name="Normal 2 2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workbookViewId="0">
      <selection activeCell="C31" sqref="C31"/>
    </sheetView>
  </sheetViews>
  <sheetFormatPr defaultRowHeight="12.75" x14ac:dyDescent="0.2"/>
  <cols>
    <col min="1" max="1" width="23.5703125" customWidth="1"/>
    <col min="3" max="3" width="7.28515625" bestFit="1" customWidth="1"/>
    <col min="4" max="4" width="7.5703125" customWidth="1"/>
    <col min="5" max="5" width="7.28515625" bestFit="1" customWidth="1"/>
    <col min="6" max="6" width="8.28515625" customWidth="1"/>
    <col min="7" max="7" width="7.28515625" bestFit="1" customWidth="1"/>
    <col min="8" max="8" width="8" customWidth="1"/>
    <col min="9" max="9" width="7.28515625" bestFit="1" customWidth="1"/>
    <col min="10" max="10" width="8.140625" customWidth="1"/>
    <col min="11" max="11" width="7.28515625" bestFit="1" customWidth="1"/>
    <col min="12" max="12" width="7.7109375" customWidth="1"/>
    <col min="13" max="13" width="7.28515625" bestFit="1" customWidth="1"/>
    <col min="15" max="15" width="7.28515625" bestFit="1" customWidth="1"/>
    <col min="16" max="16" width="8" customWidth="1"/>
    <col min="17" max="17" width="7.28515625" bestFit="1" customWidth="1"/>
    <col min="18" max="18" width="7.85546875" customWidth="1"/>
    <col min="19" max="19" width="7.28515625" bestFit="1" customWidth="1"/>
  </cols>
  <sheetData>
    <row r="1" spans="1:19" x14ac:dyDescent="0.2">
      <c r="A1" s="1" t="s">
        <v>34</v>
      </c>
    </row>
    <row r="2" spans="1:19" ht="13.5" thickBot="1" x14ac:dyDescent="0.25"/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3.5" thickBot="1" x14ac:dyDescent="0.25">
      <c r="A5" s="39" t="s">
        <v>11</v>
      </c>
      <c r="B5" s="40">
        <f>D5+F5+H5+J5+L5+N5+P5+R5</f>
        <v>94.916666666666657</v>
      </c>
      <c r="C5" s="15">
        <f>B5/$B$11</f>
        <v>4.2523959395032269E-3</v>
      </c>
      <c r="D5" s="41">
        <f>('2020 January'!D5+'2020 February'!D5+'2020 Mar'!D5+'2020 Apr'!D5+'2020 May'!D5+'2020 June'!D5+'2020 July'!D5+'2020 Aug'!D5+'2020 Sep'!D5+'2020 Oct'!D5+'2020 Nov'!D5+'2020 Dec'!D5)/12</f>
        <v>3.5</v>
      </c>
      <c r="E5" s="15">
        <f>D5/$D$11</f>
        <v>3.3870967741935487E-2</v>
      </c>
      <c r="F5" s="41">
        <f>('2020 January'!F5+'2020 February'!F5+'2020 Mar'!F5+'2020 Apr'!F5+'2020 May'!F5+'2020 June'!F5+'2020 July'!F5+'2020 Aug'!F5+'2020 Sep'!F5+'2020 Oct'!F5+'2020 Nov'!F5+'2020 Dec'!F5)/12</f>
        <v>11</v>
      </c>
      <c r="G5" s="15">
        <f>F5/$F$11</f>
        <v>9.5348165270153131E-3</v>
      </c>
      <c r="H5" s="41">
        <f>('2020 January'!H5+'2020 February'!H5+'2020 Mar'!H5+'2020 Apr'!H5+'2020 May'!H5+'2020 June'!H5+'2020 July'!H5+'2020 Aug'!H5+'2020 Sep'!H5+'2020 Oct'!H5+'2020 Nov'!H5+'2020 Dec'!H5)/12</f>
        <v>11.166666666666666</v>
      </c>
      <c r="I5" s="15">
        <f>H5/$H$11</f>
        <v>4.0338360576778346E-3</v>
      </c>
      <c r="J5" s="41">
        <f>('2020 January'!J5+'2020 February'!J5+'2020 Mar'!J5+'2020 Apr'!J5+'2020 May'!J5+'2020 June'!J5+'2020 July'!J5+'2020 Aug'!J5+'2020 Sep'!J5+'2020 Oct'!J5+'2020 Nov'!J5+'2020 Dec'!J5)/12</f>
        <v>20.083333333333332</v>
      </c>
      <c r="K5" s="15">
        <f>J5/$J$11</f>
        <v>3.323358660727829E-3</v>
      </c>
      <c r="L5" s="41">
        <f>('2020 January'!L5+'2020 February'!L5+'2020 Mar'!L5+'2020 Apr'!L5+'2020 May'!L5+'2020 June'!L5+'2020 July'!L5+'2020 Aug'!L5+'2020 Sep'!L5+'2020 Oct'!L5+'2020 Nov'!L5+'2020 Dec'!L5)/12</f>
        <v>22.083333333333332</v>
      </c>
      <c r="M5" s="15">
        <f>L5/$L$11</f>
        <v>4.7833071605205679E-3</v>
      </c>
      <c r="N5" s="41">
        <f>('2020 January'!N5+'2020 February'!N5+'2020 Mar'!N5+'2020 Apr'!N5+'2020 May'!N5+'2020 June'!N5+'2020 July'!N5+'2020 Aug'!N5+'2020 Sep'!N5+'2020 Oct'!N5+'2020 Nov'!N5+'2020 Dec'!N5)/12</f>
        <v>18.833333333333332</v>
      </c>
      <c r="O5" s="15">
        <f>N5/$N$11</f>
        <v>3.652761390635354E-3</v>
      </c>
      <c r="P5" s="41">
        <f>('2020 January'!P5+'2020 February'!P5+'2020 Mar'!P5+'2020 Apr'!P5+'2020 May'!P5+'2020 June'!P5+'2020 July'!P5+'2020 Aug'!P5+'2020 Sep'!P5+'2020 Oct'!P5+'2020 Nov'!P5+'2020 Dec'!P5)/12</f>
        <v>7.833333333333333</v>
      </c>
      <c r="Q5" s="15">
        <f>P5/$P$11</f>
        <v>3.3694171625206111E-3</v>
      </c>
      <c r="R5" s="41">
        <f>('2020 January'!R5+'2020 February'!R5+'2020 Mar'!R5+'2020 Apr'!R5+'2020 May'!R5+'2020 June'!R5+'2020 July'!R5+'2020 Aug'!R5+'2020 Sep'!R5+'2020 Oct'!R5+'2020 Nov'!R5+'2020 Dec'!R5)/12</f>
        <v>0.41666666666666669</v>
      </c>
      <c r="S5" s="15">
        <f>R5/$R$11</f>
        <v>2.6896180742334587E-3</v>
      </c>
    </row>
    <row r="6" spans="1:19" ht="13.5" thickBot="1" x14ac:dyDescent="0.25">
      <c r="A6" s="42" t="s">
        <v>12</v>
      </c>
      <c r="B6" s="40">
        <f>D6+F6+H6+J6+L6+N6+P6+R6</f>
        <v>4617.333333333333</v>
      </c>
      <c r="C6" s="16">
        <f>B6/$B$11</f>
        <v>0.206862821963121</v>
      </c>
      <c r="D6" s="41">
        <f>('2020 January'!D6+'2020 February'!D6+'2020 Mar'!D6+'2020 Apr'!D6+'2020 May'!D6+'2020 June'!D6+'2020 July'!D6+'2020 Aug'!D6+'2020 Sep'!D6+'2020 Oct'!D6+'2020 Nov'!D6+'2020 Dec'!D6)/12</f>
        <v>35.666666666666664</v>
      </c>
      <c r="E6" s="16">
        <f>D6/$D$11</f>
        <v>0.34516129032258064</v>
      </c>
      <c r="F6" s="41">
        <f>('2020 January'!F6+'2020 February'!F6+'2020 Mar'!F6+'2020 Apr'!F6+'2020 May'!F6+'2020 June'!F6+'2020 July'!F6+'2020 Aug'!F6+'2020 Sep'!F6+'2020 Oct'!F6+'2020 Nov'!F6+'2020 Dec'!F6)/12</f>
        <v>218.91666666666666</v>
      </c>
      <c r="G6" s="16">
        <f>F6/$F$11</f>
        <v>0.18975729557931231</v>
      </c>
      <c r="H6" s="41">
        <f>('2020 January'!H6+'2020 February'!H6+'2020 Mar'!H6+'2020 Apr'!H6+'2020 May'!H6+'2020 June'!H6+'2020 July'!H6+'2020 Aug'!H6+'2020 Sep'!H6+'2020 Oct'!H6+'2020 Nov'!H6+'2020 Dec'!H6)/12</f>
        <v>325.08333333333331</v>
      </c>
      <c r="I6" s="16">
        <f>H6/$H$11</f>
        <v>0.11743279448508383</v>
      </c>
      <c r="J6" s="41">
        <f>('2020 January'!J6+'2020 February'!J6+'2020 Mar'!J6+'2020 Apr'!J6+'2020 May'!J6+'2020 June'!J6+'2020 July'!J6+'2020 Aug'!J6+'2020 Sep'!J6+'2020 Oct'!J6+'2020 Nov'!J6+'2020 Dec'!J6)/12</f>
        <v>962.58333333333337</v>
      </c>
      <c r="K6" s="16">
        <f>J6/$J$11</f>
        <v>0.15928678792558984</v>
      </c>
      <c r="L6" s="41">
        <f>('2020 January'!L6+'2020 February'!L6+'2020 Mar'!L6+'2020 Apr'!L6+'2020 May'!L6+'2020 June'!L6+'2020 July'!L6+'2020 Aug'!L6+'2020 Sep'!L6+'2020 Oct'!L6+'2020 Nov'!L6+'2020 Dec'!L6)/12</f>
        <v>1005.5</v>
      </c>
      <c r="M6" s="16">
        <f>L6/$L$11</f>
        <v>0.21779390263713652</v>
      </c>
      <c r="N6" s="41">
        <f>('2020 January'!N6+'2020 February'!N6+'2020 Mar'!N6+'2020 Apr'!N6+'2020 May'!N6+'2020 June'!N6+'2020 July'!N6+'2020 Aug'!N6+'2020 Sep'!N6+'2020 Oct'!N6+'2020 Nov'!N6+'2020 Dec'!N6)/12</f>
        <v>1291.0833333333333</v>
      </c>
      <c r="O6" s="16">
        <f>N6/$N$11</f>
        <v>0.25040810719076784</v>
      </c>
      <c r="P6" s="41">
        <f>('2020 January'!P6+'2020 February'!P6+'2020 Mar'!P6+'2020 Apr'!P6+'2020 May'!P6+'2020 June'!P6+'2020 July'!P6+'2020 Aug'!P6+'2020 Sep'!P6+'2020 Oct'!P6+'2020 Nov'!P6+'2020 Dec'!P6)/12</f>
        <v>713.16666666666663</v>
      </c>
      <c r="Q6" s="16">
        <f>P6/$P$11</f>
        <v>0.30676034124309987</v>
      </c>
      <c r="R6" s="41">
        <f>('2020 January'!R6+'2020 February'!R6+'2020 Mar'!R6+'2020 Apr'!R6+'2020 May'!R6+'2020 June'!R6+'2020 July'!R6+'2020 Aug'!R6+'2020 Sep'!R6+'2020 Oct'!R6+'2020 Nov'!R6+'2020 Dec'!R6)/12</f>
        <v>65.333333333333329</v>
      </c>
      <c r="S6" s="16">
        <f>R6/$R$11</f>
        <v>0.42173211403980626</v>
      </c>
    </row>
    <row r="7" spans="1:19" ht="13.5" thickBot="1" x14ac:dyDescent="0.25">
      <c r="A7" s="43" t="s">
        <v>13</v>
      </c>
      <c r="B7" s="40">
        <f>D7+F7+H7+J7+L7+N7+P7+R7</f>
        <v>8871.1666666666679</v>
      </c>
      <c r="C7" s="16">
        <f>B7/$B$11</f>
        <v>0.39744034885327184</v>
      </c>
      <c r="D7" s="41">
        <f>('2020 January'!D7+'2020 February'!D7+'2020 Mar'!D7+'2020 Apr'!D7+'2020 May'!D7+'2020 June'!D7+'2020 July'!D7+'2020 Aug'!D7+'2020 Sep'!D7+'2020 Oct'!D7+'2020 Nov'!D7+'2020 Dec'!D7)/12</f>
        <v>46.25</v>
      </c>
      <c r="E7" s="16">
        <f>D7/$D$11</f>
        <v>0.44758064516129037</v>
      </c>
      <c r="F7" s="41">
        <f>('2020 January'!F7+'2020 February'!F7+'2020 Mar'!F7+'2020 Apr'!F7+'2020 May'!F7+'2020 June'!F7+'2020 July'!F7+'2020 Aug'!F7+'2020 Sep'!F7+'2020 Oct'!F7+'2020 Nov'!F7+'2020 Dec'!F7)/12</f>
        <v>492.58333333333331</v>
      </c>
      <c r="G7" s="16">
        <f>F7/$F$11</f>
        <v>0.42697197341808724</v>
      </c>
      <c r="H7" s="41">
        <f>('2020 January'!H7+'2020 February'!H7+'2020 Mar'!H7+'2020 Apr'!H7+'2020 May'!H7+'2020 June'!H7+'2020 July'!H7+'2020 Aug'!H7+'2020 Sep'!H7+'2020 Oct'!H7+'2020 Nov'!H7+'2020 Dec'!H7)/12</f>
        <v>816.66666666666663</v>
      </c>
      <c r="I7" s="16">
        <f>H7/$H$11</f>
        <v>0.29501189078539386</v>
      </c>
      <c r="J7" s="41">
        <f>('2020 January'!J7+'2020 February'!J7+'2020 Mar'!J7+'2020 Apr'!J7+'2020 May'!J7+'2020 June'!J7+'2020 July'!J7+'2020 Aug'!J7+'2020 Sep'!J7+'2020 Oct'!J7+'2020 Nov'!J7+'2020 Dec'!J7)/12</f>
        <v>1938.6666666666667</v>
      </c>
      <c r="K7" s="16">
        <f>J7/$J$11</f>
        <v>0.32080753478494695</v>
      </c>
      <c r="L7" s="41">
        <f>('2020 January'!L7+'2020 February'!L7+'2020 Mar'!L7+'2020 Apr'!L7+'2020 May'!L7+'2020 June'!L7+'2020 July'!L7+'2020 Aug'!L7+'2020 Sep'!L7+'2020 Oct'!L7+'2020 Nov'!L7+'2020 Dec'!L7)/12</f>
        <v>2058.6666666666665</v>
      </c>
      <c r="M7" s="16">
        <f>L7/$L$11</f>
        <v>0.44591252865471737</v>
      </c>
      <c r="N7" s="41">
        <f>('2020 January'!N7+'2020 February'!N7+'2020 Mar'!N7+'2020 Apr'!N7+'2020 May'!N7+'2020 June'!N7+'2020 July'!N7+'2020 Aug'!N7+'2020 Sep'!N7+'2020 Oct'!N7+'2020 Nov'!N7+'2020 Dec'!N7)/12</f>
        <v>2478.3333333333335</v>
      </c>
      <c r="O7" s="16">
        <f>N7/$N$11</f>
        <v>0.48067753874997982</v>
      </c>
      <c r="P7" s="41">
        <f>('2020 January'!P7+'2020 February'!P7+'2020 Mar'!P7+'2020 Apr'!P7+'2020 May'!P7+'2020 June'!P7+'2020 July'!P7+'2020 Aug'!P7+'2020 Sep'!P7+'2020 Oct'!P7+'2020 Nov'!P7+'2020 Dec'!P7)/12</f>
        <v>986.41666666666663</v>
      </c>
      <c r="Q7" s="16">
        <f>P7/$P$11</f>
        <v>0.42429564843357953</v>
      </c>
      <c r="R7" s="41">
        <f>('2020 January'!R7+'2020 February'!R7+'2020 Mar'!R7+'2020 Apr'!R7+'2020 May'!R7+'2020 June'!R7+'2020 July'!R7+'2020 Aug'!R7+'2020 Sep'!R7+'2020 Oct'!R7+'2020 Nov'!R7+'2020 Dec'!R7)/12</f>
        <v>53.583333333333336</v>
      </c>
      <c r="S7" s="16">
        <f>R7/$R$11</f>
        <v>0.34588488434642278</v>
      </c>
    </row>
    <row r="8" spans="1:19" ht="13.5" thickBot="1" x14ac:dyDescent="0.25">
      <c r="A8" s="42" t="s">
        <v>14</v>
      </c>
      <c r="B8" s="40">
        <f>D8+F8+H8+J8+L8+N8+P8+R8</f>
        <v>1947.3333333333333</v>
      </c>
      <c r="C8" s="16">
        <f>B8/$B$11</f>
        <v>8.7243185526173328E-2</v>
      </c>
      <c r="D8" s="41">
        <f>('2020 January'!D8+'2020 February'!D8+'2020 Mar'!D8+'2020 Apr'!D8+'2020 May'!D8+'2020 June'!D8+'2020 July'!D8+'2020 Aug'!D8+'2020 Sep'!D8+'2020 Oct'!D8+'2020 Nov'!D8+'2020 Dec'!D8)/12</f>
        <v>17.5</v>
      </c>
      <c r="E8" s="16">
        <f>D8/$D$11</f>
        <v>0.16935483870967744</v>
      </c>
      <c r="F8" s="41">
        <f>('2020 January'!F8+'2020 February'!F8+'2020 Mar'!F8+'2020 Apr'!F8+'2020 May'!F8+'2020 June'!F8+'2020 July'!F8+'2020 Aug'!F8+'2020 Sep'!F8+'2020 Oct'!F8+'2020 Nov'!F8+'2020 Dec'!F8)/12</f>
        <v>181</v>
      </c>
      <c r="G8" s="16">
        <f>F8/$F$11</f>
        <v>0.1568910719445247</v>
      </c>
      <c r="H8" s="41">
        <f>('2020 January'!H8+'2020 February'!H8+'2020 Mar'!H8+'2020 Apr'!H8+'2020 May'!H8+'2020 June'!H8+'2020 July'!H8+'2020 Aug'!H8+'2020 Sep'!H8+'2020 Oct'!H8+'2020 Nov'!H8+'2020 Dec'!H8)/12</f>
        <v>238.75</v>
      </c>
      <c r="I8" s="16">
        <f>H8/$H$11</f>
        <v>8.6245823173485059E-2</v>
      </c>
      <c r="J8" s="41">
        <f>('2020 January'!J8+'2020 February'!J8+'2020 Mar'!J8+'2020 Apr'!J8+'2020 May'!J8+'2020 June'!J8+'2020 July'!J8+'2020 Aug'!J8+'2020 Sep'!J8+'2020 Oct'!J8+'2020 Nov'!J8+'2020 Dec'!J8)/12</f>
        <v>475.58333333333331</v>
      </c>
      <c r="K8" s="16">
        <f>J8/$J$11</f>
        <v>7.8698787870430373E-2</v>
      </c>
      <c r="L8" s="41">
        <f>('2020 January'!L8+'2020 February'!L8+'2020 Mar'!L8+'2020 Apr'!L8+'2020 May'!L8+'2020 June'!L8+'2020 July'!L8+'2020 Aug'!L8+'2020 Sep'!L8+'2020 Oct'!L8+'2020 Nov'!L8+'2020 Dec'!L8)/12</f>
        <v>379</v>
      </c>
      <c r="M8" s="16">
        <f>L8/$L$11</f>
        <v>8.2092381003952997E-2</v>
      </c>
      <c r="N8" s="41">
        <f>('2020 January'!N8+'2020 February'!N8+'2020 Mar'!N8+'2020 Apr'!N8+'2020 May'!N8+'2020 June'!N8+'2020 July'!N8+'2020 Aug'!N8+'2020 Sep'!N8+'2020 Oct'!N8+'2020 Nov'!N8+'2020 Dec'!N8)/12</f>
        <v>448.75</v>
      </c>
      <c r="O8" s="16">
        <f>N8/$N$11</f>
        <v>8.7035929595448591E-2</v>
      </c>
      <c r="P8" s="41">
        <f>('2020 January'!P8+'2020 February'!P8+'2020 Mar'!P8+'2020 Apr'!P8+'2020 May'!P8+'2020 June'!P8+'2020 July'!P8+'2020 Aug'!P8+'2020 Sep'!P8+'2020 Oct'!P8+'2020 Nov'!P8+'2020 Dec'!P8)/12</f>
        <v>200.16666666666666</v>
      </c>
      <c r="Q8" s="16">
        <f>P8/$P$11</f>
        <v>8.6099361961430934E-2</v>
      </c>
      <c r="R8" s="41">
        <f>('2020 January'!R8+'2020 February'!R8+'2020 Mar'!R8+'2020 Apr'!R8+'2020 May'!R8+'2020 June'!R8+'2020 July'!R8+'2020 Aug'!R8+'2020 Sep'!R8+'2020 Oct'!R8+'2020 Nov'!R8+'2020 Dec'!R8)/12</f>
        <v>6.583333333333333</v>
      </c>
      <c r="S8" s="16">
        <f>R8/$R$11</f>
        <v>4.2495965572888643E-2</v>
      </c>
    </row>
    <row r="9" spans="1:19" ht="13.5" thickBot="1" x14ac:dyDescent="0.25">
      <c r="A9" s="43" t="s">
        <v>15</v>
      </c>
      <c r="B9" s="40">
        <f>D9+F9+H9+J9+L9+N9+P9+R9</f>
        <v>6790</v>
      </c>
      <c r="C9" s="17">
        <f>B9/$B$11</f>
        <v>0.30420124771793061</v>
      </c>
      <c r="D9" s="41">
        <f>('2020 January'!D9+'2020 February'!D9+'2020 Mar'!D9+'2020 Apr'!D9+'2020 May'!D9+'2020 June'!D9+'2020 July'!D9+'2020 Aug'!D9+'2020 Sep'!D9+'2020 Oct'!D9+'2020 Nov'!D9+'2020 Dec'!D9)/12</f>
        <v>0.41666666666666669</v>
      </c>
      <c r="E9" s="17">
        <f>D9/$D$11</f>
        <v>4.0322580645161298E-3</v>
      </c>
      <c r="F9" s="41">
        <f>('2020 January'!F9+'2020 February'!F9+'2020 Mar'!F9+'2020 Apr'!F9+'2020 May'!F9+'2020 June'!F9+'2020 July'!F9+'2020 Aug'!F9+'2020 Sep'!F9+'2020 Oct'!F9+'2020 Nov'!F9+'2020 Dec'!F9)/12</f>
        <v>250.16666666666666</v>
      </c>
      <c r="G9" s="17">
        <f>F9/$F$11</f>
        <v>0.21684484253106037</v>
      </c>
      <c r="H9" s="41">
        <f>('2020 January'!H9+'2020 February'!H9+'2020 Mar'!H9+'2020 Apr'!H9+'2020 May'!H9+'2020 June'!H9+'2020 July'!H9+'2020 Aug'!H9+'2020 Sep'!H9+'2020 Oct'!H9+'2020 Nov'!H9+'2020 Dec'!H9)/12</f>
        <v>1376.5833333333333</v>
      </c>
      <c r="I9" s="17">
        <f>H9/$H$11</f>
        <v>0.49727565549835934</v>
      </c>
      <c r="J9" s="41">
        <f>('2020 January'!J9+'2020 February'!J9+'2020 Mar'!J9+'2020 Apr'!J9+'2020 May'!J9+'2020 June'!J9+'2020 July'!J9+'2020 Aug'!J9+'2020 Sep'!J9+'2020 Oct'!J9+'2020 Nov'!J9+'2020 Dec'!J9)/12</f>
        <v>2646.1666666666665</v>
      </c>
      <c r="K9" s="17">
        <f>J9/$J$11</f>
        <v>0.43788353075830488</v>
      </c>
      <c r="L9" s="41">
        <f>('2020 January'!L9+'2020 February'!L9+'2020 Mar'!L9+'2020 Apr'!L9+'2020 May'!L9+'2020 June'!L9+'2020 July'!L9+'2020 Aug'!L9+'2020 Sep'!L9+'2020 Oct'!L9+'2020 Nov'!L9+'2020 Dec'!L9)/12</f>
        <v>1151.5</v>
      </c>
      <c r="M9" s="17">
        <f>L9/$L$11</f>
        <v>0.2494178805436725</v>
      </c>
      <c r="N9" s="41">
        <f>('2020 January'!N9+'2020 February'!N9+'2020 Mar'!N9+'2020 Apr'!N9+'2020 May'!N9+'2020 June'!N9+'2020 July'!N9+'2020 Aug'!N9+'2020 Sep'!N9+'2020 Oct'!N9+'2020 Nov'!N9+'2020 Dec'!N9)/12</f>
        <v>918.91666666666663</v>
      </c>
      <c r="O9" s="17">
        <f>N9/$N$11</f>
        <v>0.17822566307316834</v>
      </c>
      <c r="P9" s="41">
        <f>('2020 January'!P9+'2020 February'!P9+'2020 Mar'!P9+'2020 Apr'!P9+'2020 May'!P9+'2020 June'!P9+'2020 July'!P9+'2020 Aug'!P9+'2020 Sep'!P9+'2020 Oct'!P9+'2020 Nov'!P9+'2020 Dec'!P9)/12</f>
        <v>417.25</v>
      </c>
      <c r="Q9" s="17">
        <f>P9/$P$11</f>
        <v>0.17947523119936915</v>
      </c>
      <c r="R9" s="41">
        <f>('2020 January'!R9+'2020 February'!R9+'2020 Mar'!R9+'2020 Apr'!R9+'2020 May'!R9+'2020 June'!R9+'2020 July'!R9+'2020 Aug'!R9+'2020 Sep'!R9+'2020 Oct'!R9+'2020 Nov'!R9+'2020 Dec'!R9)/12</f>
        <v>29</v>
      </c>
      <c r="S9" s="17">
        <f>R9/$R$11</f>
        <v>0.18719741796664871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SUM(B5:B10)</f>
        <v>22320.75</v>
      </c>
      <c r="C11" s="45">
        <f>B11/$B$11</f>
        <v>1</v>
      </c>
      <c r="D11" s="49">
        <f>SUM(D5:D9)</f>
        <v>103.33333333333333</v>
      </c>
      <c r="E11" s="45">
        <f>D11/$D$11</f>
        <v>1</v>
      </c>
      <c r="F11" s="50">
        <f>SUM(F5:F9)</f>
        <v>1153.6666666666667</v>
      </c>
      <c r="G11" s="45">
        <f>F11/$F$11</f>
        <v>1</v>
      </c>
      <c r="H11" s="50">
        <f>SUM(H5:H9)</f>
        <v>2768.25</v>
      </c>
      <c r="I11" s="45">
        <f>H11/$H$11</f>
        <v>1</v>
      </c>
      <c r="J11" s="47">
        <f>SUM(J5:J9)</f>
        <v>6043.0833333333339</v>
      </c>
      <c r="K11" s="45">
        <f>J11/$J$11</f>
        <v>1</v>
      </c>
      <c r="L11" s="47">
        <f>SUM(L5:L9)</f>
        <v>4616.75</v>
      </c>
      <c r="M11" s="45">
        <f>L11/$L$11</f>
        <v>1</v>
      </c>
      <c r="N11" s="47">
        <f>SUM(N5:N9)</f>
        <v>5155.916666666667</v>
      </c>
      <c r="O11" s="45">
        <f>N11/$N$11</f>
        <v>1</v>
      </c>
      <c r="P11" s="47">
        <f>SUM(P5:P9)</f>
        <v>2324.833333333333</v>
      </c>
      <c r="Q11" s="45">
        <f>P11/$P$11</f>
        <v>1</v>
      </c>
      <c r="R11" s="47">
        <f>SUM(R5:R9)</f>
        <v>154.91666666666669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4.6294740693450416E-3</v>
      </c>
      <c r="E12" s="52"/>
      <c r="F12" s="28">
        <f>F11/$B$11</f>
        <v>5.1685837916139322E-2</v>
      </c>
      <c r="G12" s="52"/>
      <c r="H12" s="28">
        <f>H11/$B$11</f>
        <v>0.12402137024965559</v>
      </c>
      <c r="I12" s="52"/>
      <c r="J12" s="28">
        <f>J11/$B$11</f>
        <v>0.27073836377959226</v>
      </c>
      <c r="K12" s="52"/>
      <c r="L12" s="28">
        <f>L11/$B$11</f>
        <v>0.2068366878353102</v>
      </c>
      <c r="M12" s="52"/>
      <c r="N12" s="28">
        <f>N11/$B$11</f>
        <v>0.23099208882616701</v>
      </c>
      <c r="O12" s="52"/>
      <c r="P12" s="28">
        <f>P11/$B$11</f>
        <v>0.10415569966660318</v>
      </c>
      <c r="Q12" s="52"/>
      <c r="R12" s="28">
        <f>R11/$B$11</f>
        <v>6.9404776571874464E-3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3.5" thickBot="1" x14ac:dyDescent="0.25">
      <c r="A17" s="59" t="s">
        <v>11</v>
      </c>
      <c r="B17" s="40">
        <f>D17+F17+H17+J17+L17+N17+P17+R17</f>
        <v>195.58333333333334</v>
      </c>
      <c r="C17" s="60">
        <f>B17/$B$23</f>
        <v>6.482530037287668E-3</v>
      </c>
      <c r="D17" s="41">
        <f>('2020 January'!D17+'2020 February'!D17+'2020 Mar'!D17+'2020 Apr'!D17+'2020 May'!D17+'2020 June'!D17+'2020 July'!D17+'2020 Aug'!D17+'2020 Sep'!D17+'2020 Oct'!D17+'2020 Nov'!D17+'2020 Dec'!D17)/12</f>
        <v>2.6666666666666665</v>
      </c>
      <c r="E17" s="60">
        <f>D17/$D$23</f>
        <v>1.8757327080890968E-2</v>
      </c>
      <c r="F17" s="41">
        <f>('2020 January'!F17+'2020 February'!F17+'2020 Mar'!F17+'2020 Apr'!F17+'2020 May'!F17+'2020 June'!F17+'2020 July'!F17+'2020 Aug'!F17+'2020 Sep'!F17+'2020 Oct'!F17+'2020 Nov'!F17+'2020 Dec'!F17)/12</f>
        <v>21</v>
      </c>
      <c r="G17" s="60">
        <f>F17/$F$23</f>
        <v>1.2149848126898413E-2</v>
      </c>
      <c r="H17" s="41">
        <f>('2020 January'!H17+'2020 February'!H17+'2020 Mar'!H17+'2020 Apr'!H17+'2020 May'!H17+'2020 June'!H17+'2020 July'!H17+'2020 Aug'!H17+'2020 Sep'!H17+'2020 Oct'!H17+'2020 Nov'!H17+'2020 Dec'!H17)/12</f>
        <v>22.166666666666668</v>
      </c>
      <c r="I17" s="60">
        <f>H17/$H$23</f>
        <v>5.4331175064850183E-3</v>
      </c>
      <c r="J17" s="41">
        <f>('2020 January'!J17+'2020 February'!J17+'2020 Mar'!J17+'2020 Apr'!J17+'2020 May'!J17+'2020 June'!J17+'2020 July'!J17+'2020 Aug'!J17+'2020 Sep'!J17+'2020 Oct'!J17+'2020 Nov'!J17+'2020 Dec'!J17)/12</f>
        <v>54.75</v>
      </c>
      <c r="K17" s="60">
        <f>J17/$J$23</f>
        <v>6.5882494509792123E-3</v>
      </c>
      <c r="L17" s="41">
        <f>('2020 January'!L17+'2020 February'!L17+'2020 Mar'!L17+'2020 Apr'!L17+'2020 May'!L17+'2020 June'!L17+'2020 July'!L17+'2020 Aug'!L17+'2020 Sep'!L17+'2020 Oct'!L17+'2020 Nov'!L17+'2020 Dec'!L17)/12</f>
        <v>43.75</v>
      </c>
      <c r="M17" s="60">
        <f>L17/$L$23</f>
        <v>6.7860143475731933E-3</v>
      </c>
      <c r="N17" s="41">
        <f>('2020 January'!N17+'2020 February'!N17+'2020 Mar'!N17+'2020 Apr'!N17+'2020 May'!N17+'2020 June'!N17+'2020 July'!N17+'2020 Aug'!N17+'2020 Sep'!N17+'2020 Oct'!N17+'2020 Nov'!N17+'2020 Dec'!N17)/12</f>
        <v>31.833333333333332</v>
      </c>
      <c r="O17" s="60">
        <f>N17/$N$23</f>
        <v>5.0633582524786599E-3</v>
      </c>
      <c r="P17" s="41">
        <f>('2020 January'!P17+'2020 February'!P17+'2020 Mar'!P17+'2020 Apr'!P17+'2020 May'!P17+'2020 June'!P17+'2020 July'!P17+'2020 Aug'!P17+'2020 Sep'!P17+'2020 Oct'!P17+'2020 Nov'!P17+'2020 Dec'!P17)/12</f>
        <v>17.75</v>
      </c>
      <c r="Q17" s="60">
        <f>P17/$P$23</f>
        <v>6.0787671232876714E-3</v>
      </c>
      <c r="R17" s="41">
        <f>('2020 January'!R17+'2020 February'!R17+'2020 Mar'!R17+'2020 Apr'!R17+'2020 May'!R17+'2020 June'!R17+'2020 July'!R17+'2020 Aug'!R17+'2020 Sep'!R17+'2020 Oct'!R17+'2020 Nov'!R17+'2020 Dec'!R17)/12</f>
        <v>1.6666666666666667</v>
      </c>
      <c r="S17" s="60">
        <f>R17/$R$23</f>
        <v>6.510416666666667E-3</v>
      </c>
    </row>
    <row r="18" spans="1:19" ht="13.5" thickBot="1" x14ac:dyDescent="0.25">
      <c r="A18" s="61" t="s">
        <v>12</v>
      </c>
      <c r="B18" s="40">
        <f t="shared" ref="B18:B21" si="0">D18+F18+H18+J18+L18+N18+P18+R18</f>
        <v>7169.5</v>
      </c>
      <c r="C18" s="63">
        <f>B18/$B$23</f>
        <v>0.23763016157989228</v>
      </c>
      <c r="D18" s="41">
        <f>('2020 January'!D18+'2020 February'!D18+'2020 Mar'!D18+'2020 Apr'!D18+'2020 May'!D18+'2020 June'!D18+'2020 July'!D18+'2020 Aug'!D18+'2020 Sep'!D18+'2020 Oct'!D18+'2020 Nov'!D18+'2020 Dec'!D18)/12</f>
        <v>62</v>
      </c>
      <c r="E18" s="63">
        <f>D18/$D$23</f>
        <v>0.43610785463071505</v>
      </c>
      <c r="F18" s="41">
        <f>('2020 January'!F18+'2020 February'!F18+'2020 Mar'!F18+'2020 Apr'!F18+'2020 May'!F18+'2020 June'!F18+'2020 July'!F18+'2020 Aug'!F18+'2020 Sep'!F18+'2020 Oct'!F18+'2020 Nov'!F18+'2020 Dec'!F18)/12</f>
        <v>383</v>
      </c>
      <c r="G18" s="63">
        <f t="shared" ref="G18:G23" si="1">F18/$F$23</f>
        <v>0.22159008726676629</v>
      </c>
      <c r="H18" s="41">
        <f>('2020 January'!H18+'2020 February'!H18+'2020 Mar'!H18+'2020 Apr'!H18+'2020 May'!H18+'2020 June'!H18+'2020 July'!H18+'2020 Aug'!H18+'2020 Sep'!H18+'2020 Oct'!H18+'2020 Nov'!H18+'2020 Dec'!H18)/12</f>
        <v>612.33333333333337</v>
      </c>
      <c r="I18" s="63">
        <f t="shared" ref="I18:I23" si="2">H18/$H$23</f>
        <v>0.15008476480320268</v>
      </c>
      <c r="J18" s="41">
        <f>('2020 January'!J18+'2020 February'!J18+'2020 Mar'!J18+'2020 Apr'!J18+'2020 May'!J18+'2020 June'!J18+'2020 July'!J18+'2020 Aug'!J18+'2020 Sep'!J18+'2020 Oct'!J18+'2020 Nov'!J18+'2020 Dec'!J18)/12</f>
        <v>1567.8333333333333</v>
      </c>
      <c r="K18" s="63">
        <f t="shared" ref="K18:K23" si="3">J18/$J$23</f>
        <v>0.18866259538922817</v>
      </c>
      <c r="L18" s="41">
        <f>('2020 January'!L18+'2020 February'!L18+'2020 Mar'!L18+'2020 Apr'!L18+'2020 May'!L18+'2020 June'!L18+'2020 July'!L18+'2020 Aug'!L18+'2020 Sep'!L18+'2020 Oct'!L18+'2020 Nov'!L18+'2020 Dec'!L18)/12</f>
        <v>1659.25</v>
      </c>
      <c r="M18" s="63">
        <f t="shared" ref="M18:M23" si="4">L18/$L$23</f>
        <v>0.25736444128481878</v>
      </c>
      <c r="N18" s="41">
        <f>('2020 January'!N18+'2020 February'!N18+'2020 Mar'!N18+'2020 Apr'!N18+'2020 May'!N18+'2020 June'!N18+'2020 July'!N18+'2020 Aug'!N18+'2020 Sep'!N18+'2020 Oct'!N18+'2020 Nov'!N18+'2020 Dec'!N18)/12</f>
        <v>1834.8333333333333</v>
      </c>
      <c r="O18" s="63">
        <f t="shared" ref="O18:O23" si="5">N18/$N$23</f>
        <v>0.29184560733789305</v>
      </c>
      <c r="P18" s="41">
        <f>('2020 January'!P18+'2020 February'!P18+'2020 Mar'!P18+'2020 Apr'!P18+'2020 May'!P18+'2020 June'!P18+'2020 July'!P18+'2020 Aug'!P18+'2020 Sep'!P18+'2020 Oct'!P18+'2020 Nov'!P18+'2020 Dec'!P18)/12</f>
        <v>953</v>
      </c>
      <c r="Q18" s="63">
        <f t="shared" ref="Q18:Q23" si="6">P18/$P$23</f>
        <v>0.32636986301369864</v>
      </c>
      <c r="R18" s="41">
        <f>('2020 January'!R18+'2020 February'!R18+'2020 Mar'!R18+'2020 Apr'!R18+'2020 May'!R18+'2020 June'!R18+'2020 July'!R18+'2020 Aug'!R18+'2020 Sep'!R18+'2020 Oct'!R18+'2020 Nov'!R18+'2020 Dec'!R18)/12</f>
        <v>97.25</v>
      </c>
      <c r="S18" s="63">
        <f t="shared" ref="S18:S23" si="7">R18/$R$23</f>
        <v>0.3798828125</v>
      </c>
    </row>
    <row r="19" spans="1:19" ht="13.5" thickBot="1" x14ac:dyDescent="0.25">
      <c r="A19" s="29" t="s">
        <v>13</v>
      </c>
      <c r="B19" s="40">
        <f t="shared" si="0"/>
        <v>11489.5</v>
      </c>
      <c r="C19" s="63">
        <f>B19/$B$23</f>
        <v>0.38081480458500211</v>
      </c>
      <c r="D19" s="41">
        <f>('2020 January'!D19+'2020 February'!D19+'2020 Mar'!D19+'2020 Apr'!D19+'2020 May'!D19+'2020 June'!D19+'2020 July'!D19+'2020 Aug'!D19+'2020 Sep'!D19+'2020 Oct'!D19+'2020 Nov'!D19+'2020 Dec'!D19)/12</f>
        <v>51</v>
      </c>
      <c r="E19" s="63">
        <f>D19/$D$23</f>
        <v>0.3587338804220398</v>
      </c>
      <c r="F19" s="41">
        <f>('2020 January'!F19+'2020 February'!F19+'2020 Mar'!F19+'2020 Apr'!F19+'2020 May'!F19+'2020 June'!F19+'2020 July'!F19+'2020 Aug'!F19+'2020 Sep'!F19+'2020 Oct'!F19+'2020 Nov'!F19+'2020 Dec'!F19)/12</f>
        <v>704.75</v>
      </c>
      <c r="G19" s="63">
        <f t="shared" si="1"/>
        <v>0.40774311749674558</v>
      </c>
      <c r="H19" s="41">
        <f>('2020 January'!H19+'2020 February'!H19+'2020 Mar'!H19+'2020 Apr'!H19+'2020 May'!H19+'2020 June'!H19+'2020 July'!H19+'2020 Aug'!H19+'2020 Sep'!H19+'2020 Oct'!H19+'2020 Nov'!H19+'2020 Dec'!H19)/12</f>
        <v>1245.4166666666667</v>
      </c>
      <c r="I19" s="63">
        <f t="shared" si="2"/>
        <v>0.30525541779856613</v>
      </c>
      <c r="J19" s="41">
        <f>('2020 January'!J19+'2020 February'!J19+'2020 Mar'!J19+'2020 Apr'!J19+'2020 May'!J19+'2020 June'!J19+'2020 July'!J19+'2020 Aug'!J19+'2020 Sep'!J19+'2020 Oct'!J19+'2020 Nov'!J19+'2020 Dec'!J19)/12</f>
        <v>2646.3333333333335</v>
      </c>
      <c r="K19" s="63">
        <f t="shared" si="3"/>
        <v>0.31844208457427076</v>
      </c>
      <c r="L19" s="41">
        <f>('2020 January'!L19+'2020 February'!L19+'2020 Mar'!L19+'2020 Apr'!L19+'2020 May'!L19+'2020 June'!L19+'2020 July'!L19+'2020 Aug'!L19+'2020 Sep'!L19+'2020 Oct'!L19+'2020 Nov'!L19+'2020 Dec'!L19)/12</f>
        <v>2692.9166666666665</v>
      </c>
      <c r="M19" s="63">
        <f t="shared" si="4"/>
        <v>0.41769534027014804</v>
      </c>
      <c r="N19" s="41">
        <f>('2020 January'!N19+'2020 February'!N19+'2020 Mar'!N19+'2020 Apr'!N19+'2020 May'!N19+'2020 June'!N19+'2020 July'!N19+'2020 Aug'!N19+'2020 Sep'!N19+'2020 Oct'!N19+'2020 Nov'!N19+'2020 Dec'!N19)/12</f>
        <v>2851</v>
      </c>
      <c r="O19" s="63">
        <f t="shared" si="5"/>
        <v>0.45347542548115166</v>
      </c>
      <c r="P19" s="41">
        <f>('2020 January'!P19+'2020 February'!P19+'2020 Mar'!P19+'2020 Apr'!P19+'2020 May'!P19+'2020 June'!P19+'2020 July'!P19+'2020 Aug'!P19+'2020 Sep'!P19+'2020 Oct'!P19+'2020 Nov'!P19+'2020 Dec'!P19)/12</f>
        <v>1201.5833333333333</v>
      </c>
      <c r="Q19" s="63">
        <f t="shared" si="6"/>
        <v>0.41150114155251138</v>
      </c>
      <c r="R19" s="41">
        <f>('2020 January'!R19+'2020 February'!R19+'2020 Mar'!R19+'2020 Apr'!R19+'2020 May'!R19+'2020 June'!R19+'2020 July'!R19+'2020 Aug'!R19+'2020 Sep'!R19+'2020 Oct'!R19+'2020 Nov'!R19+'2020 Dec'!R19)/12</f>
        <v>96.5</v>
      </c>
      <c r="S19" s="63">
        <f t="shared" si="7"/>
        <v>0.376953125</v>
      </c>
    </row>
    <row r="20" spans="1:19" ht="13.5" thickBot="1" x14ac:dyDescent="0.25">
      <c r="A20" s="61" t="s">
        <v>14</v>
      </c>
      <c r="B20" s="40">
        <f t="shared" si="0"/>
        <v>2495.25</v>
      </c>
      <c r="C20" s="63">
        <f>B20/$B$23</f>
        <v>8.2704046402430606E-2</v>
      </c>
      <c r="D20" s="41">
        <v>25</v>
      </c>
      <c r="E20" s="63">
        <f>D20/$D$23</f>
        <v>0.17584994138335286</v>
      </c>
      <c r="F20" s="41">
        <f>('2020 January'!F20+'2020 February'!F20+'2020 Mar'!F20+'2020 Apr'!F20+'2020 May'!F20+'2020 June'!F20+'2020 July'!F20+'2020 Aug'!F20+'2020 Sep'!F20+'2020 Oct'!F20+'2020 Nov'!F20+'2020 Dec'!F20)/12</f>
        <v>290.91666666666669</v>
      </c>
      <c r="G20" s="63">
        <f t="shared" si="1"/>
        <v>0.16831396750397765</v>
      </c>
      <c r="H20" s="41">
        <f>('2020 January'!H20+'2020 February'!H20+'2020 Mar'!H20+'2020 Apr'!H20+'2020 May'!H20+'2020 June'!H20+'2020 July'!H20+'2020 Aug'!H20+'2020 Sep'!H20+'2020 Oct'!H20+'2020 Nov'!H20+'2020 Dec'!H20)/12</f>
        <v>356.91666666666669</v>
      </c>
      <c r="I20" s="63">
        <f t="shared" si="2"/>
        <v>8.7481361955922307E-2</v>
      </c>
      <c r="J20" s="41">
        <f>('2020 January'!J20+'2020 February'!J20+'2020 Mar'!J20+'2020 Apr'!J20+'2020 May'!J20+'2020 June'!J20+'2020 July'!J20+'2020 Aug'!J20+'2020 Sep'!J20+'2020 Oct'!J20+'2020 Nov'!J20+'2020 Dec'!J20)/12</f>
        <v>587.33333333333337</v>
      </c>
      <c r="K20" s="63">
        <f t="shared" si="3"/>
        <v>7.0675771888130123E-2</v>
      </c>
      <c r="L20" s="41">
        <f>('2020 January'!L20+'2020 February'!L20+'2020 Mar'!L20+'2020 Apr'!L20+'2020 May'!L20+'2020 June'!L20+'2020 July'!L20+'2020 Aug'!L20+'2020 Sep'!L20+'2020 Oct'!L20+'2020 Nov'!L20+'2020 Dec'!L20)/12</f>
        <v>490.58333333333331</v>
      </c>
      <c r="M20" s="63">
        <f t="shared" si="4"/>
        <v>7.6093840884120731E-2</v>
      </c>
      <c r="N20" s="41">
        <f>('2020 January'!N20+'2020 February'!N20+'2020 Mar'!N20+'2020 Apr'!N20+'2020 May'!N20+'2020 June'!N20+'2020 July'!N20+'2020 Aug'!N20+'2020 Sep'!N20+'2020 Oct'!N20+'2020 Nov'!N20+'2020 Dec'!N20)/12</f>
        <v>496</v>
      </c>
      <c r="O20" s="63">
        <f t="shared" si="5"/>
        <v>7.8892953714013059E-2</v>
      </c>
      <c r="P20" s="41">
        <f>('2020 January'!P20+'2020 February'!P20+'2020 Mar'!P20+'2020 Apr'!P20+'2020 May'!P20+'2020 June'!P20+'2020 July'!P20+'2020 Aug'!P20+'2020 Sep'!P20+'2020 Oct'!P20+'2020 Nov'!P20+'2020 Dec'!P20)/12</f>
        <v>232.08333333333334</v>
      </c>
      <c r="Q20" s="63">
        <f t="shared" si="6"/>
        <v>7.9480593607305944E-2</v>
      </c>
      <c r="R20" s="41">
        <f>('2020 January'!R20+'2020 February'!R20+'2020 Mar'!R20+'2020 Apr'!R20+'2020 May'!R20+'2020 June'!R20+'2020 July'!R20+'2020 Aug'!R20+'2020 Sep'!R20+'2020 Oct'!R20+'2020 Nov'!R20+'2020 Dec'!R20)/12</f>
        <v>16.416666666666668</v>
      </c>
      <c r="S20" s="63">
        <f t="shared" si="7"/>
        <v>6.4127604166666671E-2</v>
      </c>
    </row>
    <row r="21" spans="1:19" ht="13.5" thickBot="1" x14ac:dyDescent="0.25">
      <c r="A21" s="29" t="s">
        <v>15</v>
      </c>
      <c r="B21" s="40">
        <f t="shared" si="0"/>
        <v>8821</v>
      </c>
      <c r="C21" s="65">
        <f>B21/$B$23</f>
        <v>0.29236845739538742</v>
      </c>
      <c r="D21" s="41">
        <f>('2020 January'!D21+'2020 February'!D21+'2020 Mar'!D21+'2020 Apr'!D21+'2020 May'!D21+'2020 June'!D21+'2020 July'!D21+'2020 Aug'!D21+'2020 Sep'!D21+'2020 Oct'!D21+'2020 Nov'!D21+'2020 Dec'!D21)/12</f>
        <v>1.5</v>
      </c>
      <c r="E21" s="65">
        <f>D21/$D$23</f>
        <v>1.055099648300117E-2</v>
      </c>
      <c r="F21" s="41">
        <f>('2020 January'!F21+'2020 February'!F21+'2020 Mar'!F21+'2020 Apr'!F21+'2020 May'!F21+'2020 June'!F21+'2020 July'!F21+'2020 Aug'!F21+'2020 Sep'!F21+'2020 Oct'!F21+'2020 Nov'!F21+'2020 Dec'!F21)/12</f>
        <v>328.75</v>
      </c>
      <c r="G21" s="65">
        <f>F21/$F$23</f>
        <v>0.19020297960561205</v>
      </c>
      <c r="H21" s="41">
        <f>('2020 January'!H21+'2020 February'!H21+'2020 Mar'!H21+'2020 Apr'!H21+'2020 May'!H21+'2020 June'!H21+'2020 July'!H21+'2020 Aug'!H21+'2020 Sep'!H21+'2020 Oct'!H21+'2020 Nov'!H21+'2020 Dec'!H21)/12</f>
        <v>1843.0833333333333</v>
      </c>
      <c r="I21" s="65">
        <f t="shared" si="2"/>
        <v>0.45174533793582378</v>
      </c>
      <c r="J21" s="41">
        <f>('2020 January'!J21+'2020 February'!J21+'2020 Mar'!J21+'2020 Apr'!J21+'2020 May'!J21+'2020 June'!J21+'2020 July'!J21+'2020 Aug'!J21+'2020 Sep'!J21+'2020 Oct'!J21+'2020 Nov'!J21+'2020 Dec'!J21)/12</f>
        <v>3454</v>
      </c>
      <c r="K21" s="65">
        <f t="shared" si="3"/>
        <v>0.41563129869739179</v>
      </c>
      <c r="L21" s="41">
        <f>('2020 January'!L21+'2020 February'!L21+'2020 Mar'!L21+'2020 Apr'!L21+'2020 May'!L21+'2020 June'!L21+'2020 July'!L21+'2020 Aug'!L21+'2020 Sep'!L21+'2020 Oct'!L21+'2020 Nov'!L21+'2020 Dec'!L21)/12</f>
        <v>1560.5833333333333</v>
      </c>
      <c r="M21" s="65">
        <f t="shared" si="4"/>
        <v>0.2420603632133394</v>
      </c>
      <c r="N21" s="41">
        <f>('2020 January'!N21+'2020 February'!N21+'2020 Mar'!N21+'2020 Apr'!N21+'2020 May'!N21+'2020 June'!N21+'2020 July'!N21+'2020 Aug'!N21+'2020 Sep'!N21+'2020 Oct'!N21+'2020 Nov'!N21+'2020 Dec'!N21)/12</f>
        <v>1073.3333333333333</v>
      </c>
      <c r="O21" s="65">
        <f t="shared" si="5"/>
        <v>0.17072265521446373</v>
      </c>
      <c r="P21" s="41">
        <f>('2020 January'!P21+'2020 February'!P21+'2020 Mar'!P21+'2020 Apr'!P21+'2020 May'!P21+'2020 June'!P21+'2020 July'!P21+'2020 Aug'!P21+'2020 Sep'!P21+'2020 Oct'!P21+'2020 Nov'!P21+'2020 Dec'!P21)/12</f>
        <v>515.58333333333337</v>
      </c>
      <c r="Q21" s="65">
        <f t="shared" si="6"/>
        <v>0.17656963470319637</v>
      </c>
      <c r="R21" s="41">
        <f>('2020 January'!R21+'2020 February'!R21+'2020 Mar'!R21+'2020 Apr'!R21+'2020 May'!R21+'2020 June'!R21+'2020 July'!R21+'2020 Aug'!R21+'2020 Sep'!R21+'2020 Oct'!R21+'2020 Nov'!R21+'2020 Dec'!R21)/12</f>
        <v>44.166666666666664</v>
      </c>
      <c r="S21" s="65">
        <f t="shared" si="7"/>
        <v>0.17252604166666666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30170.833333333332</v>
      </c>
      <c r="C23" s="67">
        <f>B23/$B$23</f>
        <v>1</v>
      </c>
      <c r="D23" s="71">
        <f>SUM(D17:D21)</f>
        <v>142.16666666666669</v>
      </c>
      <c r="E23" s="67">
        <f>D23/$D$23</f>
        <v>1</v>
      </c>
      <c r="F23" s="71">
        <f>SUM(F17:F21)</f>
        <v>1728.4166666666667</v>
      </c>
      <c r="G23" s="67">
        <f t="shared" si="1"/>
        <v>1</v>
      </c>
      <c r="H23" s="50">
        <f>SUM(H17:H21)</f>
        <v>4079.916666666667</v>
      </c>
      <c r="I23" s="67">
        <f t="shared" si="2"/>
        <v>1</v>
      </c>
      <c r="J23" s="71">
        <f>SUM(J17:J21)</f>
        <v>8310.25</v>
      </c>
      <c r="K23" s="67">
        <f t="shared" si="3"/>
        <v>1</v>
      </c>
      <c r="L23" s="50">
        <f>SUM(L17:L21)</f>
        <v>6447.0833333333321</v>
      </c>
      <c r="M23" s="67">
        <f t="shared" si="4"/>
        <v>1</v>
      </c>
      <c r="N23" s="50">
        <f>SUM(N17:N21)</f>
        <v>6286.9999999999991</v>
      </c>
      <c r="O23" s="67">
        <f t="shared" si="5"/>
        <v>1</v>
      </c>
      <c r="P23" s="50">
        <f>SUM(P17:P21)</f>
        <v>2920</v>
      </c>
      <c r="Q23" s="67">
        <f t="shared" si="6"/>
        <v>1</v>
      </c>
      <c r="R23" s="50">
        <f>SUM(R17:R21)</f>
        <v>256</v>
      </c>
      <c r="S23" s="67">
        <f t="shared" si="7"/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4.712056345808591E-3</v>
      </c>
      <c r="E24" s="32"/>
      <c r="F24" s="32">
        <f>F23/$B$23</f>
        <v>5.7287667449247348E-2</v>
      </c>
      <c r="G24" s="32"/>
      <c r="H24" s="32">
        <f>H23/$B$23</f>
        <v>0.13522717856649635</v>
      </c>
      <c r="I24" s="32"/>
      <c r="J24" s="32">
        <f>J23/$B$23</f>
        <v>0.2754398563734291</v>
      </c>
      <c r="K24" s="32"/>
      <c r="L24" s="33">
        <f>L23/$B$23</f>
        <v>0.21368595497859408</v>
      </c>
      <c r="M24" s="32"/>
      <c r="N24" s="33">
        <f>N23/$B$23</f>
        <v>0.20838005800303824</v>
      </c>
      <c r="O24" s="32"/>
      <c r="P24" s="33">
        <f>P23/$B$23</f>
        <v>9.6782212401601994E-2</v>
      </c>
      <c r="Q24" s="32"/>
      <c r="R24" s="33">
        <f>R23/$B$23</f>
        <v>8.4850158817842847E-3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B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2">
      <c r="A28" s="3"/>
      <c r="B28" s="11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B30" s="10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B31" s="11"/>
      <c r="K31" s="3"/>
      <c r="L31" s="3"/>
      <c r="M31" s="3"/>
      <c r="N31" s="3"/>
      <c r="O31" s="3"/>
      <c r="P31" s="3"/>
      <c r="Q31" s="3"/>
      <c r="R31" s="3"/>
      <c r="S31" s="3"/>
    </row>
    <row r="33" spans="1:9" x14ac:dyDescent="0.2">
      <c r="B33" s="2"/>
      <c r="C33" s="12"/>
      <c r="D33" s="3"/>
      <c r="E33" s="3"/>
      <c r="F33" s="3"/>
      <c r="G33" s="3"/>
      <c r="H33" s="3"/>
      <c r="I33" s="3"/>
    </row>
    <row r="34" spans="1:9" x14ac:dyDescent="0.2">
      <c r="A34" s="10"/>
      <c r="B34" s="13"/>
      <c r="C34" s="4"/>
      <c r="D34" s="4"/>
      <c r="E34" s="3"/>
      <c r="F34" s="4"/>
      <c r="G34" s="3"/>
      <c r="H34" s="4"/>
      <c r="I34" s="3"/>
    </row>
    <row r="35" spans="1:9" x14ac:dyDescent="0.2">
      <c r="A35" s="10"/>
      <c r="B35" s="14"/>
      <c r="C35" s="11"/>
    </row>
    <row r="36" spans="1:9" x14ac:dyDescent="0.2">
      <c r="B36" s="14"/>
    </row>
    <row r="37" spans="1:9" x14ac:dyDescent="0.2">
      <c r="B37" s="14"/>
    </row>
    <row r="38" spans="1:9" x14ac:dyDescent="0.2">
      <c r="B38" s="14"/>
    </row>
    <row r="39" spans="1:9" x14ac:dyDescent="0.2">
      <c r="B39" s="14"/>
    </row>
    <row r="40" spans="1:9" x14ac:dyDescent="0.2">
      <c r="B40" s="14"/>
    </row>
  </sheetData>
  <mergeCells count="18">
    <mergeCell ref="P15:Q15"/>
    <mergeCell ref="J15:K15"/>
    <mergeCell ref="L15:M15"/>
    <mergeCell ref="N15:O15"/>
    <mergeCell ref="R15:S15"/>
    <mergeCell ref="N3:O3"/>
    <mergeCell ref="P3:Q3"/>
    <mergeCell ref="R3:S3"/>
    <mergeCell ref="J3:K3"/>
    <mergeCell ref="L3:M3"/>
    <mergeCell ref="B15:C15"/>
    <mergeCell ref="B3:C3"/>
    <mergeCell ref="D3:E3"/>
    <mergeCell ref="F3:G3"/>
    <mergeCell ref="H3:I3"/>
    <mergeCell ref="D15:E15"/>
    <mergeCell ref="F15:G15"/>
    <mergeCell ref="H15:I15"/>
  </mergeCells>
  <phoneticPr fontId="0" type="noConversion"/>
  <pageMargins left="0.44" right="0.56000000000000005" top="1" bottom="1" header="0.51" footer="0.5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E27" sqref="E27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6.1406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20" x14ac:dyDescent="0.2">
      <c r="A1" s="1" t="s">
        <v>29</v>
      </c>
    </row>
    <row r="2" spans="1:20" ht="13.5" thickBot="1" x14ac:dyDescent="0.25">
      <c r="A2" s="81" t="s">
        <v>20</v>
      </c>
    </row>
    <row r="3" spans="1:20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20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20" ht="15.75" thickBot="1" x14ac:dyDescent="0.3">
      <c r="A5" s="39" t="s">
        <v>11</v>
      </c>
      <c r="B5" s="40">
        <f>D5+F5+H5+J5+L5+N5+P5+R5</f>
        <v>79</v>
      </c>
      <c r="C5" s="15">
        <f>B5/$B$11</f>
        <v>4.6558227251296555E-3</v>
      </c>
      <c r="D5" s="86">
        <v>4</v>
      </c>
      <c r="E5" s="15">
        <f>D5/$D$11</f>
        <v>4.7058823529411764E-2</v>
      </c>
      <c r="F5" s="87">
        <v>7</v>
      </c>
      <c r="G5" s="15">
        <f>F5/$F$11</f>
        <v>8.0000000000000002E-3</v>
      </c>
      <c r="H5" s="87">
        <v>10</v>
      </c>
      <c r="I5" s="15">
        <f>H5/$H$11</f>
        <v>4.7415836889521104E-3</v>
      </c>
      <c r="J5" s="87">
        <v>17</v>
      </c>
      <c r="K5" s="15">
        <f>J5/$J$11</f>
        <v>3.6270535523789203E-3</v>
      </c>
      <c r="L5" s="87">
        <v>16</v>
      </c>
      <c r="M5" s="15">
        <f>L5/$L$11</f>
        <v>4.8338368580060423E-3</v>
      </c>
      <c r="N5" s="87">
        <v>19</v>
      </c>
      <c r="O5" s="15">
        <f>N5/$N$11</f>
        <v>4.9401976079043158E-3</v>
      </c>
      <c r="P5" s="87">
        <v>6</v>
      </c>
      <c r="Q5" s="15">
        <f>P5/$P$11</f>
        <v>3.1185031185031187E-3</v>
      </c>
      <c r="R5" s="87">
        <v>0</v>
      </c>
      <c r="S5" s="15">
        <f>R5/$R$11</f>
        <v>0</v>
      </c>
    </row>
    <row r="6" spans="1:20" ht="15.75" thickBot="1" x14ac:dyDescent="0.3">
      <c r="A6" s="42" t="s">
        <v>12</v>
      </c>
      <c r="B6" s="40">
        <f>D6+F6+H6+J6+L6+N6+P6+R6</f>
        <v>2678</v>
      </c>
      <c r="C6" s="16">
        <f>B6/$B$11</f>
        <v>0.15782649693540782</v>
      </c>
      <c r="D6" s="86">
        <v>15</v>
      </c>
      <c r="E6" s="16">
        <f>D6/$D$11</f>
        <v>0.17647058823529413</v>
      </c>
      <c r="F6" s="87">
        <v>133</v>
      </c>
      <c r="G6" s="16">
        <f>F6/$F$11</f>
        <v>0.152</v>
      </c>
      <c r="H6" s="87">
        <v>150</v>
      </c>
      <c r="I6" s="16">
        <f>H6/$H$11</f>
        <v>7.1123755334281655E-2</v>
      </c>
      <c r="J6" s="87">
        <v>577</v>
      </c>
      <c r="K6" s="16">
        <f>J6/$J$11</f>
        <v>0.12310646468956689</v>
      </c>
      <c r="L6" s="87">
        <v>493</v>
      </c>
      <c r="M6" s="16">
        <f>L6/$L$11</f>
        <v>0.14894259818731118</v>
      </c>
      <c r="N6" s="87">
        <v>761</v>
      </c>
      <c r="O6" s="16">
        <f>N6/$N$11</f>
        <v>0.19786791471658866</v>
      </c>
      <c r="P6" s="87">
        <v>498</v>
      </c>
      <c r="Q6" s="16">
        <f>P6/$P$11</f>
        <v>0.25883575883575882</v>
      </c>
      <c r="R6" s="87">
        <v>51</v>
      </c>
      <c r="S6" s="16">
        <f>R6/$R$11</f>
        <v>0.38636363636363635</v>
      </c>
    </row>
    <row r="7" spans="1:20" ht="15.75" thickBot="1" x14ac:dyDescent="0.3">
      <c r="A7" s="43" t="s">
        <v>13</v>
      </c>
      <c r="B7" s="40">
        <f>D7+F7+H7+J7+L7+N7+P7+R7</f>
        <v>6631</v>
      </c>
      <c r="C7" s="16">
        <f>B7/$B$11</f>
        <v>0.3907944365865158</v>
      </c>
      <c r="D7" s="86">
        <v>49</v>
      </c>
      <c r="E7" s="16">
        <f>D7/$D$11</f>
        <v>0.57647058823529407</v>
      </c>
      <c r="F7" s="87">
        <v>355</v>
      </c>
      <c r="G7" s="16">
        <f>F7/$F$11</f>
        <v>0.40571428571428569</v>
      </c>
      <c r="H7" s="87">
        <v>579</v>
      </c>
      <c r="I7" s="16">
        <f>H7/$H$11</f>
        <v>0.27453769559032715</v>
      </c>
      <c r="J7" s="87">
        <v>1388</v>
      </c>
      <c r="K7" s="16">
        <f>J7/$J$11</f>
        <v>0.29613825474717304</v>
      </c>
      <c r="L7" s="87">
        <v>1463</v>
      </c>
      <c r="M7" s="16">
        <f>L7/$L$11</f>
        <v>0.44199395770392746</v>
      </c>
      <c r="N7" s="87">
        <v>1900</v>
      </c>
      <c r="O7" s="16">
        <f>N7/$N$11</f>
        <v>0.49401976079043164</v>
      </c>
      <c r="P7" s="87">
        <v>852</v>
      </c>
      <c r="Q7" s="16">
        <f>P7/$P$11</f>
        <v>0.44282744282744285</v>
      </c>
      <c r="R7" s="87">
        <v>45</v>
      </c>
      <c r="S7" s="16">
        <f>R7/$R$11</f>
        <v>0.34090909090909088</v>
      </c>
      <c r="T7" s="6"/>
    </row>
    <row r="8" spans="1:20" ht="15.75" thickBot="1" x14ac:dyDescent="0.3">
      <c r="A8" s="42" t="s">
        <v>14</v>
      </c>
      <c r="B8" s="40">
        <f>D8+F8+H8+J8+L8+N8+P8+R8</f>
        <v>1465</v>
      </c>
      <c r="C8" s="16">
        <f>B8/$B$11</f>
        <v>8.6338991041961341E-2</v>
      </c>
      <c r="D8" s="86">
        <v>17</v>
      </c>
      <c r="E8" s="16">
        <f>D8/$D$11</f>
        <v>0.2</v>
      </c>
      <c r="F8" s="87">
        <v>128</v>
      </c>
      <c r="G8" s="16">
        <f>F8/$F$11</f>
        <v>0.1462857142857143</v>
      </c>
      <c r="H8" s="87">
        <v>157</v>
      </c>
      <c r="I8" s="16">
        <f>H8/$H$11</f>
        <v>7.4442863916548127E-2</v>
      </c>
      <c r="J8" s="87">
        <v>335</v>
      </c>
      <c r="K8" s="16">
        <f>J8/$J$11</f>
        <v>7.1474290590996373E-2</v>
      </c>
      <c r="L8" s="87">
        <v>273</v>
      </c>
      <c r="M8" s="16">
        <f>L8/$L$11</f>
        <v>8.2477341389728093E-2</v>
      </c>
      <c r="N8" s="87">
        <v>356</v>
      </c>
      <c r="O8" s="16">
        <f>N8/$N$11</f>
        <v>9.2563702548101923E-2</v>
      </c>
      <c r="P8" s="87">
        <v>193</v>
      </c>
      <c r="Q8" s="16">
        <f>P8/$P$11</f>
        <v>0.10031185031185032</v>
      </c>
      <c r="R8" s="87">
        <v>6</v>
      </c>
      <c r="S8" s="16">
        <f>R8/$R$11</f>
        <v>4.5454545454545456E-2</v>
      </c>
    </row>
    <row r="9" spans="1:20" ht="13.5" thickBot="1" x14ac:dyDescent="0.25">
      <c r="A9" s="89" t="s">
        <v>21</v>
      </c>
      <c r="B9" s="40">
        <f>D9+F9+H9+J9+L9+N9+P9+R9</f>
        <v>6115</v>
      </c>
      <c r="C9" s="17">
        <f>B9/$B$11</f>
        <v>0.3603842527109854</v>
      </c>
      <c r="D9" s="86">
        <v>0</v>
      </c>
      <c r="E9" s="17">
        <f>D9/$D$11</f>
        <v>0</v>
      </c>
      <c r="F9" s="88">
        <f>62+190</f>
        <v>252</v>
      </c>
      <c r="G9" s="17">
        <f>F9/$F$11</f>
        <v>0.28799999999999998</v>
      </c>
      <c r="H9" s="88">
        <f>251+962</f>
        <v>1213</v>
      </c>
      <c r="I9" s="17">
        <f>H9/$H$11</f>
        <v>0.57515410146989099</v>
      </c>
      <c r="J9" s="88">
        <f>489+1881</f>
        <v>2370</v>
      </c>
      <c r="K9" s="17">
        <f>J9/$J$11</f>
        <v>0.50565393641988476</v>
      </c>
      <c r="L9" s="88">
        <f>430+635</f>
        <v>1065</v>
      </c>
      <c r="M9" s="17">
        <f>L9/$L$11</f>
        <v>0.32175226586102718</v>
      </c>
      <c r="N9" s="88">
        <f>330+480</f>
        <v>810</v>
      </c>
      <c r="O9" s="17">
        <f>N9/$N$11</f>
        <v>0.21060842433697347</v>
      </c>
      <c r="P9" s="88">
        <f>133+242</f>
        <v>375</v>
      </c>
      <c r="Q9" s="17">
        <f>P9/$P$11</f>
        <v>0.1949064449064449</v>
      </c>
      <c r="R9" s="88">
        <f>8+22</f>
        <v>30</v>
      </c>
      <c r="S9" s="17">
        <f>R9/$R$11</f>
        <v>0.22727272727272727</v>
      </c>
    </row>
    <row r="10" spans="1:20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20" x14ac:dyDescent="0.2">
      <c r="A11" s="43" t="s">
        <v>16</v>
      </c>
      <c r="B11" s="48">
        <f>SUM(B5:B9)</f>
        <v>16968</v>
      </c>
      <c r="C11" s="45">
        <f>B11/$B$11</f>
        <v>1</v>
      </c>
      <c r="D11" s="49">
        <f>SUM(D5:D9)</f>
        <v>85</v>
      </c>
      <c r="E11" s="45">
        <f>D11/$D$11</f>
        <v>1</v>
      </c>
      <c r="F11" s="50">
        <f>SUM(F5:F9)</f>
        <v>875</v>
      </c>
      <c r="G11" s="45">
        <f>F11/$F$11</f>
        <v>1</v>
      </c>
      <c r="H11" s="50">
        <f>SUM(H5:H9)</f>
        <v>2109</v>
      </c>
      <c r="I11" s="45">
        <f>H11/$H$11</f>
        <v>1</v>
      </c>
      <c r="J11" s="47">
        <f>SUM(J5:J9)</f>
        <v>4687</v>
      </c>
      <c r="K11" s="45">
        <f>J11/$J$11</f>
        <v>1</v>
      </c>
      <c r="L11" s="47">
        <f>SUM(L5:L9)</f>
        <v>3310</v>
      </c>
      <c r="M11" s="45">
        <f>L11/$L$11</f>
        <v>1</v>
      </c>
      <c r="N11" s="47">
        <f>SUM(N5:N9)</f>
        <v>3846</v>
      </c>
      <c r="O11" s="45">
        <f>N11/$N$11</f>
        <v>1</v>
      </c>
      <c r="P11" s="47">
        <f>SUM(P5:P9)</f>
        <v>1924</v>
      </c>
      <c r="Q11" s="45">
        <f>P11/$P$11</f>
        <v>1</v>
      </c>
      <c r="R11" s="47">
        <f>SUM(R5:R9)</f>
        <v>132</v>
      </c>
      <c r="S11" s="45">
        <f>R11/$R$11</f>
        <v>1</v>
      </c>
    </row>
    <row r="12" spans="1:20" ht="13.5" thickBot="1" x14ac:dyDescent="0.25">
      <c r="A12" s="51" t="s">
        <v>17</v>
      </c>
      <c r="B12" s="52">
        <f>B11/$B$11</f>
        <v>1</v>
      </c>
      <c r="C12" s="52"/>
      <c r="D12" s="27">
        <f>D11/$B$11</f>
        <v>5.0094295143800092E-3</v>
      </c>
      <c r="E12" s="52"/>
      <c r="F12" s="28">
        <f>F11/$B$11</f>
        <v>5.1567656765676567E-2</v>
      </c>
      <c r="G12" s="52"/>
      <c r="H12" s="28">
        <f>H11/$B$11</f>
        <v>0.1242927864214993</v>
      </c>
      <c r="I12" s="52"/>
      <c r="J12" s="28">
        <f>J11/$B$11</f>
        <v>0.27622583686940122</v>
      </c>
      <c r="K12" s="52"/>
      <c r="L12" s="28">
        <f>L11/$B$11</f>
        <v>0.19507307873644508</v>
      </c>
      <c r="M12" s="52"/>
      <c r="N12" s="28">
        <f>N11/$B$11</f>
        <v>0.22666195190947666</v>
      </c>
      <c r="O12" s="52"/>
      <c r="P12" s="28">
        <f>P11/$B$11</f>
        <v>0.1133899104196134</v>
      </c>
      <c r="Q12" s="52"/>
      <c r="R12" s="28">
        <f>R11/$B$11</f>
        <v>7.7793493635077791E-3</v>
      </c>
      <c r="S12" s="52"/>
    </row>
    <row r="13" spans="1:20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20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20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20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218</v>
      </c>
      <c r="C17" s="60">
        <f>B17/B23</f>
        <v>7.0968161989712871E-3</v>
      </c>
      <c r="D17" s="86">
        <v>2</v>
      </c>
      <c r="E17" s="60">
        <v>1.5625E-2</v>
      </c>
      <c r="F17" s="87">
        <v>24</v>
      </c>
      <c r="G17" s="60">
        <v>1.3590033975084938E-2</v>
      </c>
      <c r="H17" s="87">
        <v>29</v>
      </c>
      <c r="I17" s="60">
        <v>6.6820276497695855E-3</v>
      </c>
      <c r="J17" s="87">
        <v>65</v>
      </c>
      <c r="K17" s="60">
        <v>7.5066404896639337E-3</v>
      </c>
      <c r="L17" s="87">
        <v>46</v>
      </c>
      <c r="M17" s="60">
        <v>7.2156862745098036E-3</v>
      </c>
      <c r="N17" s="87">
        <v>32</v>
      </c>
      <c r="O17" s="60">
        <v>5.2347456240798302E-3</v>
      </c>
      <c r="P17" s="87">
        <v>18</v>
      </c>
      <c r="Q17" s="60">
        <v>5.8958401572224038E-3</v>
      </c>
      <c r="R17" s="87">
        <v>2</v>
      </c>
      <c r="S17" s="60">
        <v>7.0422535211267607E-3</v>
      </c>
    </row>
    <row r="18" spans="1:19" ht="15" x14ac:dyDescent="0.25">
      <c r="A18" s="61" t="s">
        <v>12</v>
      </c>
      <c r="B18" s="62">
        <f>D18+F18+H18+J18+L18+N18+P18+R18</f>
        <v>6815</v>
      </c>
      <c r="C18" s="63">
        <f>B18/B23</f>
        <v>0.22185689172472167</v>
      </c>
      <c r="D18" s="86">
        <v>55</v>
      </c>
      <c r="E18" s="63">
        <v>0.4296875</v>
      </c>
      <c r="F18" s="87">
        <v>369</v>
      </c>
      <c r="G18" s="63">
        <v>0.20894677236693091</v>
      </c>
      <c r="H18" s="87">
        <v>577</v>
      </c>
      <c r="I18" s="63">
        <v>0.13294930875576036</v>
      </c>
      <c r="J18" s="87">
        <v>1471</v>
      </c>
      <c r="K18" s="63">
        <v>0.16988104861993303</v>
      </c>
      <c r="L18" s="87">
        <v>1562</v>
      </c>
      <c r="M18" s="63">
        <v>0.24501960784313725</v>
      </c>
      <c r="N18" s="87">
        <v>1697</v>
      </c>
      <c r="O18" s="63">
        <v>0.27760510387698351</v>
      </c>
      <c r="P18" s="87">
        <v>976</v>
      </c>
      <c r="Q18" s="63">
        <v>0.31968555519161479</v>
      </c>
      <c r="R18" s="87">
        <v>108</v>
      </c>
      <c r="S18" s="63">
        <v>0.38028169014084506</v>
      </c>
    </row>
    <row r="19" spans="1:19" ht="15" x14ac:dyDescent="0.25">
      <c r="A19" s="29" t="s">
        <v>13</v>
      </c>
      <c r="B19" s="62">
        <f>D19+F19+H19+J19+L19+N19+P19+R19</f>
        <v>11487</v>
      </c>
      <c r="C19" s="63">
        <f>B19/B23</f>
        <v>0.37395012696139074</v>
      </c>
      <c r="D19" s="86">
        <v>44</v>
      </c>
      <c r="E19" s="63">
        <v>0.34375</v>
      </c>
      <c r="F19" s="87">
        <v>707</v>
      </c>
      <c r="G19" s="63">
        <v>0.40033975084937712</v>
      </c>
      <c r="H19" s="87">
        <v>1278</v>
      </c>
      <c r="I19" s="63">
        <v>0.2944700460829493</v>
      </c>
      <c r="J19" s="87">
        <v>2687</v>
      </c>
      <c r="K19" s="63">
        <v>0.31031296916503059</v>
      </c>
      <c r="L19" s="87">
        <v>2629</v>
      </c>
      <c r="M19" s="63">
        <v>0.41239215686274511</v>
      </c>
      <c r="N19" s="87">
        <v>2781</v>
      </c>
      <c r="O19" s="63">
        <v>0.45493211189268773</v>
      </c>
      <c r="P19" s="87">
        <v>1259</v>
      </c>
      <c r="Q19" s="63">
        <v>0.41238126433016703</v>
      </c>
      <c r="R19" s="87">
        <v>102</v>
      </c>
      <c r="S19" s="63">
        <v>0.35915492957746481</v>
      </c>
    </row>
    <row r="20" spans="1:19" ht="15" x14ac:dyDescent="0.25">
      <c r="A20" s="61" t="s">
        <v>14</v>
      </c>
      <c r="B20" s="62">
        <f>D20+F20+H20+J20+L20+N20+P20+R20</f>
        <v>2391</v>
      </c>
      <c r="C20" s="63">
        <f>B20/B23</f>
        <v>7.7837098769451135E-2</v>
      </c>
      <c r="D20" s="86">
        <v>25</v>
      </c>
      <c r="E20" s="63">
        <v>0.1953125</v>
      </c>
      <c r="F20" s="87">
        <v>286</v>
      </c>
      <c r="G20" s="63">
        <v>0.16194790486976218</v>
      </c>
      <c r="H20" s="87">
        <v>328</v>
      </c>
      <c r="I20" s="63">
        <v>7.5576036866359442E-2</v>
      </c>
      <c r="J20" s="87">
        <v>569</v>
      </c>
      <c r="K20" s="63">
        <v>6.5711975978750434E-2</v>
      </c>
      <c r="L20" s="87">
        <v>451</v>
      </c>
      <c r="M20" s="63">
        <v>7.0745098039215693E-2</v>
      </c>
      <c r="N20" s="87">
        <v>478</v>
      </c>
      <c r="O20" s="63">
        <v>7.8194012759692455E-2</v>
      </c>
      <c r="P20" s="87">
        <v>235</v>
      </c>
      <c r="Q20" s="63">
        <v>7.6973468719292504E-2</v>
      </c>
      <c r="R20" s="87">
        <v>19</v>
      </c>
      <c r="S20" s="63">
        <v>6.6901408450704219E-2</v>
      </c>
    </row>
    <row r="21" spans="1:19" ht="13.5" thickBot="1" x14ac:dyDescent="0.25">
      <c r="A21" s="89" t="s">
        <v>21</v>
      </c>
      <c r="B21" s="64">
        <f>D21+F21+H21+J21+L21+N21+P21+R21</f>
        <v>9807</v>
      </c>
      <c r="C21" s="65">
        <f>B21/B23</f>
        <v>0.31925906634546519</v>
      </c>
      <c r="D21" s="86">
        <v>2</v>
      </c>
      <c r="E21" s="65">
        <v>1.5625E-2</v>
      </c>
      <c r="F21" s="88">
        <v>380</v>
      </c>
      <c r="G21" s="65">
        <v>0.21517553793884484</v>
      </c>
      <c r="H21" s="88">
        <v>2128</v>
      </c>
      <c r="I21" s="65">
        <v>0.49032258064516127</v>
      </c>
      <c r="J21" s="88">
        <v>3867</v>
      </c>
      <c r="K21" s="65">
        <v>0.446587365746622</v>
      </c>
      <c r="L21" s="88">
        <v>1687</v>
      </c>
      <c r="M21" s="65">
        <v>0.26462745098039214</v>
      </c>
      <c r="N21" s="88">
        <v>1125</v>
      </c>
      <c r="O21" s="65">
        <v>0.18403402584655651</v>
      </c>
      <c r="P21" s="88">
        <v>565</v>
      </c>
      <c r="Q21" s="65">
        <v>0.18506387160170323</v>
      </c>
      <c r="R21" s="88">
        <v>53</v>
      </c>
      <c r="S21" s="65">
        <v>0.18661971830985916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30718</v>
      </c>
      <c r="C23" s="67">
        <f t="shared" ref="C23:S23" si="0">SUM(C17:C21)</f>
        <v>1</v>
      </c>
      <c r="D23" s="71">
        <f t="shared" si="0"/>
        <v>128</v>
      </c>
      <c r="E23" s="67">
        <f t="shared" si="0"/>
        <v>1</v>
      </c>
      <c r="F23" s="71">
        <f t="shared" si="0"/>
        <v>1766</v>
      </c>
      <c r="G23" s="67">
        <f t="shared" si="0"/>
        <v>1</v>
      </c>
      <c r="H23" s="50">
        <f t="shared" si="0"/>
        <v>4340</v>
      </c>
      <c r="I23" s="67">
        <f t="shared" si="0"/>
        <v>1</v>
      </c>
      <c r="J23" s="71">
        <f t="shared" si="0"/>
        <v>8659</v>
      </c>
      <c r="K23" s="67">
        <f>SUM(K17:K21)</f>
        <v>1</v>
      </c>
      <c r="L23" s="50">
        <f t="shared" si="0"/>
        <v>6375</v>
      </c>
      <c r="M23" s="67">
        <f t="shared" si="0"/>
        <v>1</v>
      </c>
      <c r="N23" s="50">
        <f t="shared" si="0"/>
        <v>6113</v>
      </c>
      <c r="O23" s="67">
        <f t="shared" si="0"/>
        <v>1</v>
      </c>
      <c r="P23" s="50">
        <f t="shared" si="0"/>
        <v>3053</v>
      </c>
      <c r="Q23" s="67">
        <f t="shared" si="0"/>
        <v>1</v>
      </c>
      <c r="R23" s="50">
        <f t="shared" si="0"/>
        <v>284</v>
      </c>
      <c r="S23" s="67">
        <f t="shared" si="0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4.166937951689563E-3</v>
      </c>
      <c r="E24" s="32"/>
      <c r="F24" s="32">
        <f>F23/$B$23</f>
        <v>5.749072205221694E-2</v>
      </c>
      <c r="G24" s="32"/>
      <c r="H24" s="32">
        <f>H23/$B$23</f>
        <v>0.14128523992447425</v>
      </c>
      <c r="I24" s="32"/>
      <c r="J24" s="32">
        <f>J23/$B$23</f>
        <v>0.28188684159124944</v>
      </c>
      <c r="K24" s="32"/>
      <c r="L24" s="33">
        <f>L23/$B$23</f>
        <v>0.2075330425157888</v>
      </c>
      <c r="M24" s="32"/>
      <c r="N24" s="33">
        <f>N23/$B$23</f>
        <v>0.19900384139592422</v>
      </c>
      <c r="O24" s="32"/>
      <c r="P24" s="33">
        <f>P23/$B$23</f>
        <v>9.9387980988345601E-2</v>
      </c>
      <c r="Q24" s="32"/>
      <c r="R24" s="33">
        <f>R23/$B$23</f>
        <v>9.2453935803112185E-3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16" x14ac:dyDescent="0.2">
      <c r="B33" s="3"/>
      <c r="C33" s="3"/>
      <c r="D33" s="3"/>
      <c r="E33" s="3"/>
      <c r="F33" s="3"/>
      <c r="G33" s="3"/>
      <c r="H33" s="3"/>
      <c r="I33" s="3"/>
      <c r="P33" s="3"/>
    </row>
    <row r="34" spans="2:16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P15:Q15"/>
    <mergeCell ref="J15:K15"/>
    <mergeCell ref="L15:M15"/>
    <mergeCell ref="N15:O15"/>
    <mergeCell ref="R15:S15"/>
    <mergeCell ref="N3:O3"/>
    <mergeCell ref="P3:Q3"/>
    <mergeCell ref="R3:S3"/>
    <mergeCell ref="J3:K3"/>
    <mergeCell ref="L3:M3"/>
    <mergeCell ref="B15:C15"/>
    <mergeCell ref="B3:C3"/>
    <mergeCell ref="D3:E3"/>
    <mergeCell ref="F3:G3"/>
    <mergeCell ref="H3:I3"/>
    <mergeCell ref="D15:E15"/>
    <mergeCell ref="F15:G15"/>
    <mergeCell ref="H15:I15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H31" sqref="H31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5.8554687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30</v>
      </c>
    </row>
    <row r="2" spans="1:19" ht="13.5" thickBot="1" x14ac:dyDescent="0.25"/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70</v>
      </c>
      <c r="C5" s="15">
        <f>B5/$B$11</f>
        <v>4.2311411992263055E-3</v>
      </c>
      <c r="D5" s="86">
        <v>3</v>
      </c>
      <c r="E5" s="15">
        <f>D5/$D$11</f>
        <v>4.1095890410958902E-2</v>
      </c>
      <c r="F5" s="87">
        <v>6</v>
      </c>
      <c r="G5" s="15">
        <f>F5/$F$11</f>
        <v>7.0921985815602835E-3</v>
      </c>
      <c r="H5" s="87">
        <v>9</v>
      </c>
      <c r="I5" s="15">
        <f>H5/$H$11</f>
        <v>4.4510385756676559E-3</v>
      </c>
      <c r="J5" s="87">
        <v>14</v>
      </c>
      <c r="K5" s="15">
        <f>J5/$J$11</f>
        <v>3.1263957123715946E-3</v>
      </c>
      <c r="L5" s="87">
        <v>22</v>
      </c>
      <c r="M5" s="15">
        <f>L5/$L$11</f>
        <v>6.680838141512299E-3</v>
      </c>
      <c r="N5" s="87">
        <v>12</v>
      </c>
      <c r="O5" s="15">
        <f>N5/$N$11</f>
        <v>3.1487798478089741E-3</v>
      </c>
      <c r="P5" s="87">
        <v>3</v>
      </c>
      <c r="Q5" s="15">
        <f>P5/$P$11</f>
        <v>1.5906680805938495E-3</v>
      </c>
      <c r="R5" s="87">
        <v>1</v>
      </c>
      <c r="S5" s="15">
        <f>R5/$R$11</f>
        <v>7.4074074074074077E-3</v>
      </c>
    </row>
    <row r="6" spans="1:19" ht="15.75" thickBot="1" x14ac:dyDescent="0.3">
      <c r="A6" s="42" t="s">
        <v>12</v>
      </c>
      <c r="B6" s="40">
        <f>D6+F6+H6+J6+L6+N6+P6+R6</f>
        <v>2970</v>
      </c>
      <c r="C6" s="16">
        <f>B6/$B$11</f>
        <v>0.17952127659574468</v>
      </c>
      <c r="D6" s="86">
        <v>20</v>
      </c>
      <c r="E6" s="16">
        <f>D6/$D$11</f>
        <v>0.27397260273972601</v>
      </c>
      <c r="F6" s="87">
        <v>158</v>
      </c>
      <c r="G6" s="16">
        <f>F6/$F$11</f>
        <v>0.1867612293144208</v>
      </c>
      <c r="H6" s="87">
        <v>200</v>
      </c>
      <c r="I6" s="16">
        <f>H6/$H$11</f>
        <v>9.8911968348170135E-2</v>
      </c>
      <c r="J6" s="87">
        <v>650</v>
      </c>
      <c r="K6" s="16">
        <f>J6/$J$11</f>
        <v>0.14515408664582402</v>
      </c>
      <c r="L6" s="87">
        <v>570</v>
      </c>
      <c r="M6" s="16">
        <f>L6/$L$11</f>
        <v>0.1730944427573641</v>
      </c>
      <c r="N6" s="87">
        <v>811</v>
      </c>
      <c r="O6" s="16">
        <f>N6/$N$11</f>
        <v>0.2128050380477565</v>
      </c>
      <c r="P6" s="87">
        <v>506</v>
      </c>
      <c r="Q6" s="16">
        <f>P6/$P$11</f>
        <v>0.26829268292682928</v>
      </c>
      <c r="R6" s="87">
        <v>55</v>
      </c>
      <c r="S6" s="16">
        <f>R6/$R$11</f>
        <v>0.40740740740740738</v>
      </c>
    </row>
    <row r="7" spans="1:19" ht="15.75" thickBot="1" x14ac:dyDescent="0.3">
      <c r="A7" s="43" t="s">
        <v>13</v>
      </c>
      <c r="B7" s="40">
        <f>D7+F7+H7+J7+L7+N7+P7+R7</f>
        <v>6560</v>
      </c>
      <c r="C7" s="16">
        <f>B7/$B$11</f>
        <v>0.39651837524177952</v>
      </c>
      <c r="D7" s="86">
        <v>36</v>
      </c>
      <c r="E7" s="16">
        <f>D7/$D$11</f>
        <v>0.49315068493150682</v>
      </c>
      <c r="F7" s="87">
        <v>338</v>
      </c>
      <c r="G7" s="16">
        <f>F7/$F$11</f>
        <v>0.39952718676122934</v>
      </c>
      <c r="H7" s="87">
        <v>590</v>
      </c>
      <c r="I7" s="16">
        <f>H7/$H$11</f>
        <v>0.29179030662710187</v>
      </c>
      <c r="J7" s="87">
        <v>1416</v>
      </c>
      <c r="K7" s="16">
        <f>J7/$J$11</f>
        <v>0.31621259490844128</v>
      </c>
      <c r="L7" s="87">
        <v>1462</v>
      </c>
      <c r="M7" s="16">
        <f>L7/$L$11</f>
        <v>0.44397206194959005</v>
      </c>
      <c r="N7" s="87">
        <v>1843</v>
      </c>
      <c r="O7" s="16">
        <f>N7/$N$11</f>
        <v>0.48360010495932826</v>
      </c>
      <c r="P7" s="87">
        <v>830</v>
      </c>
      <c r="Q7" s="16">
        <f>P7/$P$11</f>
        <v>0.44008483563096501</v>
      </c>
      <c r="R7" s="87">
        <v>45</v>
      </c>
      <c r="S7" s="16">
        <f>R7/$R$11</f>
        <v>0.33333333333333331</v>
      </c>
    </row>
    <row r="8" spans="1:19" ht="15.75" thickBot="1" x14ac:dyDescent="0.3">
      <c r="A8" s="42" t="s">
        <v>14</v>
      </c>
      <c r="B8" s="40">
        <f>D8+F8+H8+J8+L8+N8+P8+R8</f>
        <v>1439</v>
      </c>
      <c r="C8" s="16">
        <f>B8/$B$11</f>
        <v>8.6980174081237913E-2</v>
      </c>
      <c r="D8" s="86">
        <v>14</v>
      </c>
      <c r="E8" s="16">
        <f>D8/$D$11</f>
        <v>0.19178082191780821</v>
      </c>
      <c r="F8" s="87">
        <v>131</v>
      </c>
      <c r="G8" s="16">
        <f>F8/$F$11</f>
        <v>0.15484633569739953</v>
      </c>
      <c r="H8" s="87">
        <v>165</v>
      </c>
      <c r="I8" s="16">
        <f>H8/$H$11</f>
        <v>8.1602373887240356E-2</v>
      </c>
      <c r="J8" s="87">
        <v>329</v>
      </c>
      <c r="K8" s="16">
        <f>J8/$J$11</f>
        <v>7.3470299240732465E-2</v>
      </c>
      <c r="L8" s="87">
        <v>251</v>
      </c>
      <c r="M8" s="16">
        <f>L8/$L$11</f>
        <v>7.6222289705435778E-2</v>
      </c>
      <c r="N8" s="87">
        <v>359</v>
      </c>
      <c r="O8" s="16">
        <f>N8/$N$11</f>
        <v>9.420099711361847E-2</v>
      </c>
      <c r="P8" s="87">
        <v>181</v>
      </c>
      <c r="Q8" s="16">
        <f>P8/$P$11</f>
        <v>9.5970307529162246E-2</v>
      </c>
      <c r="R8" s="87">
        <v>9</v>
      </c>
      <c r="S8" s="16">
        <f>R8/$R$11</f>
        <v>6.6666666666666666E-2</v>
      </c>
    </row>
    <row r="9" spans="1:19" ht="13.5" thickBot="1" x14ac:dyDescent="0.25">
      <c r="A9" s="89" t="s">
        <v>21</v>
      </c>
      <c r="B9" s="40">
        <f>D9+F9+H9+J9+L9+N9+P9+R9</f>
        <v>5505</v>
      </c>
      <c r="C9" s="17">
        <f>B9/$B$11</f>
        <v>0.33274903288201163</v>
      </c>
      <c r="D9" s="86">
        <v>0</v>
      </c>
      <c r="E9" s="17">
        <f>D9/$D$11</f>
        <v>0</v>
      </c>
      <c r="F9" s="88">
        <f>56+157</f>
        <v>213</v>
      </c>
      <c r="G9" s="17">
        <f>F9/$F$11</f>
        <v>0.25177304964539005</v>
      </c>
      <c r="H9" s="88">
        <f>243+815</f>
        <v>1058</v>
      </c>
      <c r="I9" s="17">
        <f>H9/$H$11</f>
        <v>0.52324431256182002</v>
      </c>
      <c r="J9" s="88">
        <f>488+1581</f>
        <v>2069</v>
      </c>
      <c r="K9" s="17">
        <f>J9/$J$11</f>
        <v>0.46203662349263064</v>
      </c>
      <c r="L9" s="88">
        <f>426+562</f>
        <v>988</v>
      </c>
      <c r="M9" s="17">
        <f>L9/$L$11</f>
        <v>0.30003036744609779</v>
      </c>
      <c r="N9" s="88">
        <f>309+477</f>
        <v>786</v>
      </c>
      <c r="O9" s="17">
        <f>N9/$N$11</f>
        <v>0.20624508003148781</v>
      </c>
      <c r="P9" s="88">
        <f>137+229</f>
        <v>366</v>
      </c>
      <c r="Q9" s="17">
        <f>P9/$P$11</f>
        <v>0.19406150583244963</v>
      </c>
      <c r="R9" s="88">
        <v>25</v>
      </c>
      <c r="S9" s="17">
        <f>R9/$R$11</f>
        <v>0.18518518518518517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16544</v>
      </c>
      <c r="C11" s="45">
        <f>B11/$B$11</f>
        <v>1</v>
      </c>
      <c r="D11" s="49">
        <f>SUM(D5:D9)</f>
        <v>73</v>
      </c>
      <c r="E11" s="45">
        <f>D11/$D$11</f>
        <v>1</v>
      </c>
      <c r="F11" s="50">
        <f>SUM(F5:F9)</f>
        <v>846</v>
      </c>
      <c r="G11" s="45">
        <f>F11/$F$11</f>
        <v>1</v>
      </c>
      <c r="H11" s="50">
        <f>SUM(H5:H9)</f>
        <v>2022</v>
      </c>
      <c r="I11" s="45">
        <f>H11/$H$11</f>
        <v>1</v>
      </c>
      <c r="J11" s="47">
        <f>SUM(J5:J9)</f>
        <v>4478</v>
      </c>
      <c r="K11" s="45">
        <f>J11/$J$11</f>
        <v>1</v>
      </c>
      <c r="L11" s="47">
        <f>SUM(L5:L9)</f>
        <v>3293</v>
      </c>
      <c r="M11" s="45">
        <f>L11/$L$11</f>
        <v>1</v>
      </c>
      <c r="N11" s="47">
        <f>SUM(N5:N9)</f>
        <v>3811</v>
      </c>
      <c r="O11" s="45">
        <f>N11/$N$11</f>
        <v>1</v>
      </c>
      <c r="P11" s="47">
        <f>SUM(P5:P9)</f>
        <v>1886</v>
      </c>
      <c r="Q11" s="45">
        <f>P11/$P$11</f>
        <v>1</v>
      </c>
      <c r="R11" s="47">
        <f>SUM(R5:R9)</f>
        <v>135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4.4124758220502897E-3</v>
      </c>
      <c r="E12" s="52"/>
      <c r="F12" s="28">
        <f>F11/$B$11</f>
        <v>5.113636363636364E-2</v>
      </c>
      <c r="G12" s="52"/>
      <c r="H12" s="28">
        <f>H11/$B$11</f>
        <v>0.12221953578336557</v>
      </c>
      <c r="I12" s="52"/>
      <c r="J12" s="28">
        <f>J11/$B$11</f>
        <v>0.27067214700193426</v>
      </c>
      <c r="K12" s="52"/>
      <c r="L12" s="28">
        <f>L11/$B$11</f>
        <v>0.19904497098646035</v>
      </c>
      <c r="M12" s="52"/>
      <c r="N12" s="28">
        <f>N11/$B$11</f>
        <v>0.23035541586073502</v>
      </c>
      <c r="O12" s="52"/>
      <c r="P12" s="28">
        <f>P11/$B$11</f>
        <v>0.1139990328820116</v>
      </c>
      <c r="Q12" s="52"/>
      <c r="R12" s="28">
        <f>R11/$B$11</f>
        <v>8.1600580270793036E-3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230</v>
      </c>
      <c r="C17" s="60">
        <f>B17/B23</f>
        <v>7.3046018991964941E-3</v>
      </c>
      <c r="D17" s="86">
        <v>0</v>
      </c>
      <c r="E17" s="60">
        <v>0</v>
      </c>
      <c r="F17" s="87">
        <v>25</v>
      </c>
      <c r="G17" s="60">
        <v>1.3068478829064296E-2</v>
      </c>
      <c r="H17" s="87">
        <v>29</v>
      </c>
      <c r="I17" s="60">
        <v>6.5051592642440554E-3</v>
      </c>
      <c r="J17" s="87">
        <v>68</v>
      </c>
      <c r="K17" s="60">
        <v>7.7080027204715481E-3</v>
      </c>
      <c r="L17" s="87">
        <v>51</v>
      </c>
      <c r="M17" s="60">
        <v>7.8558225508317935E-3</v>
      </c>
      <c r="N17" s="87">
        <v>34</v>
      </c>
      <c r="O17" s="60">
        <v>5.4530874097834803E-3</v>
      </c>
      <c r="P17" s="87">
        <v>21</v>
      </c>
      <c r="Q17" s="60">
        <v>6.7829457364341084E-3</v>
      </c>
      <c r="R17" s="87">
        <v>2</v>
      </c>
      <c r="S17" s="60">
        <v>6.5789473684210523E-3</v>
      </c>
    </row>
    <row r="18" spans="1:19" ht="15" x14ac:dyDescent="0.25">
      <c r="A18" s="61" t="s">
        <v>12</v>
      </c>
      <c r="B18" s="62">
        <f>D18+F18+H18+J18+L18+N18+P18+R18</f>
        <v>7061</v>
      </c>
      <c r="C18" s="63">
        <f>B18/B23</f>
        <v>0.22425127830533237</v>
      </c>
      <c r="D18" s="86">
        <v>61</v>
      </c>
      <c r="E18" s="63">
        <v>0.3652694610778443</v>
      </c>
      <c r="F18" s="87">
        <v>404</v>
      </c>
      <c r="G18" s="63">
        <v>0.21118661787767903</v>
      </c>
      <c r="H18" s="87">
        <v>610</v>
      </c>
      <c r="I18" s="63">
        <v>0.13683266038582323</v>
      </c>
      <c r="J18" s="87">
        <v>1550</v>
      </c>
      <c r="K18" s="63">
        <v>0.17569712083427794</v>
      </c>
      <c r="L18" s="87">
        <v>1581</v>
      </c>
      <c r="M18" s="63">
        <v>0.24353049907578558</v>
      </c>
      <c r="N18" s="87">
        <v>1745</v>
      </c>
      <c r="O18" s="63">
        <v>0.27987169206094625</v>
      </c>
      <c r="P18" s="87">
        <v>991</v>
      </c>
      <c r="Q18" s="63">
        <v>0.32009043927648578</v>
      </c>
      <c r="R18" s="87">
        <v>119</v>
      </c>
      <c r="S18" s="63">
        <v>0.39144736842105265</v>
      </c>
    </row>
    <row r="19" spans="1:19" ht="15" x14ac:dyDescent="0.25">
      <c r="A19" s="29" t="s">
        <v>13</v>
      </c>
      <c r="B19" s="62">
        <f>D19+F19+H19+J19+L19+N19+P19+R19</f>
        <v>11793</v>
      </c>
      <c r="C19" s="63">
        <f>B19/B23</f>
        <v>0.3745355225966272</v>
      </c>
      <c r="D19" s="86">
        <v>62</v>
      </c>
      <c r="E19" s="63">
        <v>0.3712574850299401</v>
      </c>
      <c r="F19" s="87">
        <v>752</v>
      </c>
      <c r="G19" s="63">
        <v>0.39309984317825403</v>
      </c>
      <c r="H19" s="87">
        <v>1324</v>
      </c>
      <c r="I19" s="63">
        <v>0.29699416778824583</v>
      </c>
      <c r="J19" s="87">
        <v>2760</v>
      </c>
      <c r="K19" s="63">
        <v>0.31285422806619811</v>
      </c>
      <c r="L19" s="87">
        <v>2689</v>
      </c>
      <c r="M19" s="63">
        <v>0.41420209488601356</v>
      </c>
      <c r="N19" s="87">
        <v>2820</v>
      </c>
      <c r="O19" s="63">
        <v>0.45228548516439454</v>
      </c>
      <c r="P19" s="87">
        <v>1279</v>
      </c>
      <c r="Q19" s="63">
        <v>0.41311369509043927</v>
      </c>
      <c r="R19" s="87">
        <v>107</v>
      </c>
      <c r="S19" s="63">
        <v>0.35197368421052633</v>
      </c>
    </row>
    <row r="20" spans="1:19" ht="15" x14ac:dyDescent="0.25">
      <c r="A20" s="61" t="s">
        <v>14</v>
      </c>
      <c r="B20" s="62">
        <f>D20+F20+H20+J20+L20+N20+P20+R20</f>
        <v>2475</v>
      </c>
      <c r="C20" s="63">
        <f>B20/B23</f>
        <v>7.8603868263092708E-2</v>
      </c>
      <c r="D20" s="86">
        <v>42</v>
      </c>
      <c r="E20" s="63">
        <v>0.25149700598802394</v>
      </c>
      <c r="F20" s="87">
        <v>312</v>
      </c>
      <c r="G20" s="63">
        <v>0.16309461578672244</v>
      </c>
      <c r="H20" s="87">
        <v>342</v>
      </c>
      <c r="I20" s="63">
        <v>7.6716016150740238E-2</v>
      </c>
      <c r="J20" s="87">
        <v>581</v>
      </c>
      <c r="K20" s="63">
        <v>6.5858082067558374E-2</v>
      </c>
      <c r="L20" s="87">
        <v>458</v>
      </c>
      <c r="M20" s="63">
        <v>7.0548367221195313E-2</v>
      </c>
      <c r="N20" s="87">
        <v>483</v>
      </c>
      <c r="O20" s="63">
        <v>7.7465918203688852E-2</v>
      </c>
      <c r="P20" s="87">
        <v>237</v>
      </c>
      <c r="Q20" s="63">
        <v>7.6550387596899222E-2</v>
      </c>
      <c r="R20" s="87">
        <v>20</v>
      </c>
      <c r="S20" s="63">
        <v>6.5789473684210523E-2</v>
      </c>
    </row>
    <row r="21" spans="1:19" ht="13.5" thickBot="1" x14ac:dyDescent="0.25">
      <c r="A21" s="89" t="s">
        <v>21</v>
      </c>
      <c r="B21" s="64">
        <f>D21+F21+H21+J21+L21+N21+P21+R21</f>
        <v>9928</v>
      </c>
      <c r="C21" s="65">
        <f>B21/B23</f>
        <v>0.31530472893575129</v>
      </c>
      <c r="D21" s="86">
        <v>2</v>
      </c>
      <c r="E21" s="65">
        <v>1.1976047904191617E-2</v>
      </c>
      <c r="F21" s="88">
        <v>420</v>
      </c>
      <c r="G21" s="65">
        <v>0.21955044432828019</v>
      </c>
      <c r="H21" s="88">
        <v>2153</v>
      </c>
      <c r="I21" s="65">
        <v>0.4829519964109466</v>
      </c>
      <c r="J21" s="88">
        <v>3863</v>
      </c>
      <c r="K21" s="65">
        <v>0.43788256631149397</v>
      </c>
      <c r="L21" s="88">
        <v>1713</v>
      </c>
      <c r="M21" s="65">
        <v>0.26386321626617376</v>
      </c>
      <c r="N21" s="88">
        <v>1153</v>
      </c>
      <c r="O21" s="65">
        <v>0.18492381716118686</v>
      </c>
      <c r="P21" s="88">
        <v>568</v>
      </c>
      <c r="Q21" s="65">
        <v>0.1834625322997416</v>
      </c>
      <c r="R21" s="88">
        <v>56</v>
      </c>
      <c r="S21" s="65">
        <v>0.18421052631578946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31487</v>
      </c>
      <c r="C23" s="67">
        <f t="shared" ref="C23:S23" si="0">SUM(C17:C21)</f>
        <v>1</v>
      </c>
      <c r="D23" s="71">
        <f t="shared" si="0"/>
        <v>167</v>
      </c>
      <c r="E23" s="67">
        <f t="shared" si="0"/>
        <v>0.99999999999999989</v>
      </c>
      <c r="F23" s="71">
        <f t="shared" si="0"/>
        <v>1913</v>
      </c>
      <c r="G23" s="67">
        <f t="shared" si="0"/>
        <v>1</v>
      </c>
      <c r="H23" s="50">
        <f t="shared" si="0"/>
        <v>4458</v>
      </c>
      <c r="I23" s="67">
        <f t="shared" si="0"/>
        <v>1</v>
      </c>
      <c r="J23" s="71">
        <f t="shared" si="0"/>
        <v>8822</v>
      </c>
      <c r="K23" s="67">
        <f>SUM(K17:K21)</f>
        <v>1</v>
      </c>
      <c r="L23" s="50">
        <f t="shared" si="0"/>
        <v>6492</v>
      </c>
      <c r="M23" s="67">
        <f t="shared" si="0"/>
        <v>1</v>
      </c>
      <c r="N23" s="50">
        <f t="shared" si="0"/>
        <v>6235</v>
      </c>
      <c r="O23" s="67">
        <f t="shared" si="0"/>
        <v>1</v>
      </c>
      <c r="P23" s="50">
        <f t="shared" si="0"/>
        <v>3096</v>
      </c>
      <c r="Q23" s="67">
        <f t="shared" si="0"/>
        <v>1</v>
      </c>
      <c r="R23" s="50">
        <f t="shared" si="0"/>
        <v>304</v>
      </c>
      <c r="S23" s="67">
        <f t="shared" si="0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5.3037761615904976E-3</v>
      </c>
      <c r="E24" s="32"/>
      <c r="F24" s="32">
        <f>F23/$B$23</f>
        <v>6.0755232318099532E-2</v>
      </c>
      <c r="G24" s="32"/>
      <c r="H24" s="32">
        <f>H23/$B$23</f>
        <v>0.14158224028964334</v>
      </c>
      <c r="I24" s="32"/>
      <c r="J24" s="32">
        <f>J23/$B$23</f>
        <v>0.2801791215422238</v>
      </c>
      <c r="K24" s="32"/>
      <c r="L24" s="33">
        <f>L23/$B$23</f>
        <v>0.20618032838949407</v>
      </c>
      <c r="M24" s="32"/>
      <c r="N24" s="33">
        <f>N23/$B$23</f>
        <v>0.19801822974560929</v>
      </c>
      <c r="O24" s="32"/>
      <c r="P24" s="33">
        <f>P23/$B$23</f>
        <v>9.8326293390923233E-2</v>
      </c>
      <c r="Q24" s="32"/>
      <c r="R24" s="33">
        <f>R23/$B$23</f>
        <v>9.654778162416236E-3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B3:C3"/>
    <mergeCell ref="D3:E3"/>
    <mergeCell ref="L15:M15"/>
    <mergeCell ref="F3:G3"/>
    <mergeCell ref="H3:I3"/>
    <mergeCell ref="J3:K3"/>
    <mergeCell ref="L3:M3"/>
    <mergeCell ref="R3:S3"/>
    <mergeCell ref="B15:C15"/>
    <mergeCell ref="D15:E15"/>
    <mergeCell ref="F15:G15"/>
    <mergeCell ref="H15:I15"/>
    <mergeCell ref="J15:K15"/>
    <mergeCell ref="N15:O15"/>
    <mergeCell ref="P15:Q15"/>
    <mergeCell ref="R15:S15"/>
    <mergeCell ref="N3:O3"/>
    <mergeCell ref="P3:Q3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90" zoomScaleNormal="90" workbookViewId="0">
      <selection activeCell="E8" sqref="E8"/>
    </sheetView>
  </sheetViews>
  <sheetFormatPr defaultRowHeight="12.75" x14ac:dyDescent="0.2"/>
  <cols>
    <col min="1" max="1" width="20" customWidth="1"/>
    <col min="2" max="2" width="8.42578125" customWidth="1"/>
    <col min="3" max="3" width="6.85546875" customWidth="1"/>
    <col min="4" max="6" width="7.7109375" customWidth="1"/>
    <col min="7" max="7" width="5.7109375" customWidth="1"/>
    <col min="8" max="8" width="7.5703125" customWidth="1"/>
    <col min="9" max="9" width="7" customWidth="1"/>
    <col min="10" max="10" width="9.5703125" customWidth="1"/>
    <col min="11" max="11" width="7.42578125" customWidth="1"/>
    <col min="12" max="12" width="7.7109375" customWidth="1"/>
    <col min="13" max="13" width="6.140625" customWidth="1"/>
    <col min="14" max="14" width="7.7109375" customWidth="1"/>
    <col min="15" max="15" width="5.7109375" customWidth="1"/>
    <col min="16" max="16" width="7.85546875" customWidth="1"/>
    <col min="17" max="17" width="5.5703125" customWidth="1"/>
    <col min="18" max="18" width="8" customWidth="1"/>
    <col min="19" max="19" width="6.28515625" customWidth="1"/>
  </cols>
  <sheetData>
    <row r="1" spans="1:19" x14ac:dyDescent="0.2">
      <c r="A1" s="1" t="s">
        <v>31</v>
      </c>
    </row>
    <row r="2" spans="1:19" ht="13.5" thickBot="1" x14ac:dyDescent="0.25">
      <c r="A2" s="81" t="s">
        <v>20</v>
      </c>
    </row>
    <row r="3" spans="1:19" ht="13.5" thickBot="1" x14ac:dyDescent="0.25">
      <c r="A3" s="54">
        <v>2019</v>
      </c>
      <c r="B3" s="90" t="s">
        <v>0</v>
      </c>
      <c r="C3" s="91"/>
      <c r="D3" s="90" t="s">
        <v>1</v>
      </c>
      <c r="E3" s="91"/>
      <c r="F3" s="90" t="s">
        <v>2</v>
      </c>
      <c r="G3" s="91"/>
      <c r="H3" s="90" t="s">
        <v>3</v>
      </c>
      <c r="I3" s="91"/>
      <c r="J3" s="90" t="s">
        <v>4</v>
      </c>
      <c r="K3" s="91"/>
      <c r="L3" s="90" t="s">
        <v>5</v>
      </c>
      <c r="M3" s="91"/>
      <c r="N3" s="90" t="s">
        <v>6</v>
      </c>
      <c r="O3" s="91"/>
      <c r="P3" s="90" t="s">
        <v>7</v>
      </c>
      <c r="Q3" s="91"/>
      <c r="R3" s="90" t="s">
        <v>8</v>
      </c>
      <c r="S3" s="91"/>
    </row>
    <row r="4" spans="1:19" ht="13.5" thickBot="1" x14ac:dyDescent="0.25">
      <c r="A4" s="55"/>
      <c r="B4" s="30" t="s">
        <v>18</v>
      </c>
      <c r="C4" s="56" t="s">
        <v>10</v>
      </c>
      <c r="D4" s="30" t="s">
        <v>18</v>
      </c>
      <c r="E4" s="30" t="s">
        <v>10</v>
      </c>
      <c r="F4" s="30" t="s">
        <v>18</v>
      </c>
      <c r="G4" s="30" t="s">
        <v>10</v>
      </c>
      <c r="H4" s="30" t="s">
        <v>18</v>
      </c>
      <c r="I4" s="30" t="s">
        <v>10</v>
      </c>
      <c r="J4" s="30" t="s">
        <v>18</v>
      </c>
      <c r="K4" s="56" t="s">
        <v>10</v>
      </c>
      <c r="L4" s="57" t="s">
        <v>18</v>
      </c>
      <c r="M4" s="30" t="s">
        <v>10</v>
      </c>
      <c r="N4" s="55" t="s">
        <v>18</v>
      </c>
      <c r="O4" s="56" t="s">
        <v>10</v>
      </c>
      <c r="P4" s="58" t="s">
        <v>18</v>
      </c>
      <c r="Q4" s="56" t="s">
        <v>10</v>
      </c>
      <c r="R4" s="58" t="s">
        <v>18</v>
      </c>
      <c r="S4" s="56" t="s">
        <v>10</v>
      </c>
    </row>
    <row r="5" spans="1:19" ht="15" x14ac:dyDescent="0.25">
      <c r="A5" s="59" t="s">
        <v>11</v>
      </c>
      <c r="B5" s="40">
        <f t="shared" ref="B5:B11" si="0">D5+F5+H5+J5+L5+N5+P5+R5</f>
        <v>122</v>
      </c>
      <c r="C5" s="60">
        <f>B5/B11</f>
        <v>4.9806082874055933E-3</v>
      </c>
      <c r="D5" s="86">
        <v>4</v>
      </c>
      <c r="E5" s="60">
        <f>D5/D11</f>
        <v>2.564102564102564E-2</v>
      </c>
      <c r="F5" s="87">
        <v>12</v>
      </c>
      <c r="G5" s="60">
        <f>F5/F11</f>
        <v>8.6893555394641567E-3</v>
      </c>
      <c r="H5" s="87">
        <v>12</v>
      </c>
      <c r="I5" s="60">
        <f>H5/H11</f>
        <v>4.0404040404040404E-3</v>
      </c>
      <c r="J5" s="87">
        <v>32</v>
      </c>
      <c r="K5" s="60">
        <f>J5/J11</f>
        <v>4.978994865411545E-3</v>
      </c>
      <c r="L5" s="87">
        <v>33</v>
      </c>
      <c r="M5" s="60">
        <f>L5/L11</f>
        <v>6.1624649859943975E-3</v>
      </c>
      <c r="N5" s="87">
        <v>19</v>
      </c>
      <c r="O5" s="60">
        <f>N5/N11</f>
        <v>3.3687943262411348E-3</v>
      </c>
      <c r="P5" s="87">
        <v>9</v>
      </c>
      <c r="Q5" s="60">
        <f>P5/P11</f>
        <v>3.7609694943585457E-3</v>
      </c>
      <c r="R5" s="87">
        <v>1</v>
      </c>
      <c r="S5" s="60">
        <f>R5/R11</f>
        <v>5.7803468208092483E-3</v>
      </c>
    </row>
    <row r="6" spans="1:19" ht="15" x14ac:dyDescent="0.25">
      <c r="A6" s="61" t="s">
        <v>12</v>
      </c>
      <c r="B6" s="62">
        <f t="shared" si="0"/>
        <v>6273</v>
      </c>
      <c r="C6" s="63">
        <f>B6/B11</f>
        <v>0.25609308022045313</v>
      </c>
      <c r="D6" s="86">
        <v>64</v>
      </c>
      <c r="E6" s="63">
        <f>D6/D11</f>
        <v>0.41025641025641024</v>
      </c>
      <c r="F6" s="87">
        <v>360</v>
      </c>
      <c r="G6" s="63">
        <f>F6/F11</f>
        <v>0.26068066618392471</v>
      </c>
      <c r="H6" s="87">
        <v>496</v>
      </c>
      <c r="I6" s="63">
        <f>H6/H11</f>
        <v>0.16700336700336701</v>
      </c>
      <c r="J6" s="87">
        <v>1342</v>
      </c>
      <c r="K6" s="63">
        <f>J6/J11</f>
        <v>0.20880659716819666</v>
      </c>
      <c r="L6" s="87">
        <v>1459</v>
      </c>
      <c r="M6" s="63">
        <f>L6/L11</f>
        <v>0.27245564892623714</v>
      </c>
      <c r="N6" s="87">
        <v>1687</v>
      </c>
      <c r="O6" s="63">
        <f>N6/N11</f>
        <v>0.29911347517730497</v>
      </c>
      <c r="P6" s="87">
        <v>786</v>
      </c>
      <c r="Q6" s="63">
        <f>P6/P11</f>
        <v>0.328458002507313</v>
      </c>
      <c r="R6" s="87">
        <v>79</v>
      </c>
      <c r="S6" s="63">
        <f>R6/R11</f>
        <v>0.45664739884393063</v>
      </c>
    </row>
    <row r="7" spans="1:19" ht="15" x14ac:dyDescent="0.25">
      <c r="A7" s="29" t="s">
        <v>13</v>
      </c>
      <c r="B7" s="62">
        <f t="shared" si="0"/>
        <v>9788</v>
      </c>
      <c r="C7" s="63">
        <f>B7/B11</f>
        <v>0.39959175341906511</v>
      </c>
      <c r="D7" s="86">
        <v>59</v>
      </c>
      <c r="E7" s="63">
        <f>D7/D11</f>
        <v>0.37820512820512819</v>
      </c>
      <c r="F7" s="87">
        <v>563</v>
      </c>
      <c r="G7" s="63">
        <f>F7/F11</f>
        <v>0.40767559739319331</v>
      </c>
      <c r="H7" s="87">
        <v>935</v>
      </c>
      <c r="I7" s="63">
        <f>H7/H11</f>
        <v>0.31481481481481483</v>
      </c>
      <c r="J7" s="87">
        <v>2234</v>
      </c>
      <c r="K7" s="63">
        <f>J7/J11</f>
        <v>0.34759607904154349</v>
      </c>
      <c r="L7" s="87">
        <v>2335</v>
      </c>
      <c r="M7" s="63">
        <f>L7/L11</f>
        <v>0.43604108309990663</v>
      </c>
      <c r="N7" s="87">
        <v>2608</v>
      </c>
      <c r="O7" s="63">
        <f>N7/N11</f>
        <v>0.4624113475177305</v>
      </c>
      <c r="P7" s="87">
        <v>996</v>
      </c>
      <c r="Q7" s="63">
        <f>P7/P11</f>
        <v>0.41621395737567907</v>
      </c>
      <c r="R7" s="87">
        <v>58</v>
      </c>
      <c r="S7" s="63">
        <f>R7/R11</f>
        <v>0.33526011560693642</v>
      </c>
    </row>
    <row r="8" spans="1:19" ht="15" x14ac:dyDescent="0.25">
      <c r="A8" s="61" t="s">
        <v>14</v>
      </c>
      <c r="B8" s="62">
        <f t="shared" si="0"/>
        <v>2157</v>
      </c>
      <c r="C8" s="63">
        <f>B8/B11</f>
        <v>8.8058787507654626E-2</v>
      </c>
      <c r="D8" s="86">
        <v>29</v>
      </c>
      <c r="E8" s="63">
        <f>D8/D11</f>
        <v>0.1858974358974359</v>
      </c>
      <c r="F8" s="87">
        <v>227</v>
      </c>
      <c r="G8" s="63">
        <f>F8/F11</f>
        <v>0.16437364228819695</v>
      </c>
      <c r="H8" s="87">
        <v>293</v>
      </c>
      <c r="I8" s="63">
        <f>H8/H11</f>
        <v>9.8653198653198659E-2</v>
      </c>
      <c r="J8" s="87">
        <v>533</v>
      </c>
      <c r="K8" s="63">
        <f>J8/J11</f>
        <v>8.2931383227011046E-2</v>
      </c>
      <c r="L8" s="87">
        <v>415</v>
      </c>
      <c r="M8" s="63">
        <f>L8/L11</f>
        <v>7.7497665732959853E-2</v>
      </c>
      <c r="N8" s="87">
        <v>455</v>
      </c>
      <c r="O8" s="63">
        <f>N8/N11</f>
        <v>8.0673758865248232E-2</v>
      </c>
      <c r="P8" s="87">
        <v>197</v>
      </c>
      <c r="Q8" s="63">
        <f>P8/P11</f>
        <v>8.2323443376514829E-2</v>
      </c>
      <c r="R8" s="87">
        <v>8</v>
      </c>
      <c r="S8" s="63">
        <f>R8/R11</f>
        <v>4.6242774566473986E-2</v>
      </c>
    </row>
    <row r="9" spans="1:19" ht="13.5" thickBot="1" x14ac:dyDescent="0.25">
      <c r="A9" s="89" t="s">
        <v>21</v>
      </c>
      <c r="B9" s="64">
        <f t="shared" si="0"/>
        <v>6155</v>
      </c>
      <c r="C9" s="65">
        <f>B9/B11</f>
        <v>0.2512757705654215</v>
      </c>
      <c r="D9" s="86">
        <v>0</v>
      </c>
      <c r="E9" s="65">
        <f>D9/D11</f>
        <v>0</v>
      </c>
      <c r="F9" s="88">
        <f>75+144</f>
        <v>219</v>
      </c>
      <c r="G9" s="65">
        <f>F9/F11</f>
        <v>0.15858073859522084</v>
      </c>
      <c r="H9" s="88">
        <f>318+916</f>
        <v>1234</v>
      </c>
      <c r="I9" s="65">
        <f>H9/H11</f>
        <v>0.41548821548821546</v>
      </c>
      <c r="J9" s="88">
        <f>590+1696</f>
        <v>2286</v>
      </c>
      <c r="K9" s="65">
        <f>J9/J11</f>
        <v>0.35568694569783726</v>
      </c>
      <c r="L9" s="88">
        <f>476+637</f>
        <v>1113</v>
      </c>
      <c r="M9" s="65">
        <f>L9/L11</f>
        <v>0.20784313725490197</v>
      </c>
      <c r="N9" s="88">
        <f>357+514</f>
        <v>871</v>
      </c>
      <c r="O9" s="65">
        <f>N9/N11</f>
        <v>0.15443262411347516</v>
      </c>
      <c r="P9" s="88">
        <f>156+249</f>
        <v>405</v>
      </c>
      <c r="Q9" s="65">
        <f>P9/P11</f>
        <v>0.16924362724613456</v>
      </c>
      <c r="R9" s="88">
        <v>27</v>
      </c>
      <c r="S9" s="65">
        <f>R9/R11</f>
        <v>0.15606936416184972</v>
      </c>
    </row>
    <row r="10" spans="1:19" x14ac:dyDescent="0.2">
      <c r="A10" s="59"/>
      <c r="B10" s="66">
        <f t="shared" si="0"/>
        <v>0</v>
      </c>
      <c r="C10" s="67"/>
      <c r="D10" s="68"/>
      <c r="E10" s="69"/>
      <c r="F10" s="68"/>
      <c r="G10" s="69"/>
      <c r="H10" s="70"/>
      <c r="I10" s="67"/>
      <c r="J10" s="68"/>
      <c r="K10" s="67"/>
      <c r="L10" s="50"/>
      <c r="M10" s="67"/>
      <c r="N10" s="70"/>
      <c r="O10" s="67"/>
      <c r="P10" s="50"/>
      <c r="Q10" s="67"/>
      <c r="R10" s="70"/>
      <c r="S10" s="67"/>
    </row>
    <row r="11" spans="1:19" ht="13.5" thickBot="1" x14ac:dyDescent="0.25">
      <c r="A11" s="29" t="s">
        <v>16</v>
      </c>
      <c r="B11" s="64">
        <f t="shared" si="0"/>
        <v>24495</v>
      </c>
      <c r="C11" s="67">
        <f t="shared" ref="C11" si="1">SUM(C5:C9)</f>
        <v>0.99999999999999989</v>
      </c>
      <c r="D11" s="71">
        <f>SUM(D5:D10)</f>
        <v>156</v>
      </c>
      <c r="E11" s="67">
        <f t="shared" ref="E11:J11" si="2">SUM(E5:E9)</f>
        <v>1</v>
      </c>
      <c r="F11" s="71">
        <f t="shared" si="2"/>
        <v>1381</v>
      </c>
      <c r="G11" s="67">
        <f t="shared" si="2"/>
        <v>0.99999999999999989</v>
      </c>
      <c r="H11" s="50">
        <f t="shared" si="2"/>
        <v>2970</v>
      </c>
      <c r="I11" s="67">
        <f t="shared" si="2"/>
        <v>1</v>
      </c>
      <c r="J11" s="71">
        <f t="shared" si="2"/>
        <v>6427</v>
      </c>
      <c r="K11" s="67">
        <f>SUM(K5:K9)</f>
        <v>1</v>
      </c>
      <c r="L11" s="50">
        <f t="shared" ref="L11:S11" si="3">SUM(L5:L9)</f>
        <v>5355</v>
      </c>
      <c r="M11" s="67">
        <f t="shared" si="3"/>
        <v>0.99999999999999989</v>
      </c>
      <c r="N11" s="50">
        <f t="shared" si="3"/>
        <v>5640</v>
      </c>
      <c r="O11" s="67">
        <f t="shared" si="3"/>
        <v>0.99999999999999989</v>
      </c>
      <c r="P11" s="50">
        <f t="shared" si="3"/>
        <v>2393</v>
      </c>
      <c r="Q11" s="67">
        <f t="shared" si="3"/>
        <v>1</v>
      </c>
      <c r="R11" s="50">
        <f t="shared" si="3"/>
        <v>173</v>
      </c>
      <c r="S11" s="67">
        <f t="shared" si="3"/>
        <v>0.99999999999999989</v>
      </c>
    </row>
    <row r="12" spans="1:19" ht="13.5" thickBot="1" x14ac:dyDescent="0.25">
      <c r="A12" s="31" t="s">
        <v>17</v>
      </c>
      <c r="B12" s="52">
        <f>B11/$B$11</f>
        <v>1</v>
      </c>
      <c r="C12" s="32"/>
      <c r="D12" s="27">
        <f>D11/$B$11</f>
        <v>6.3686466625842006E-3</v>
      </c>
      <c r="E12" s="32"/>
      <c r="F12" s="27">
        <f>F11/$B$11</f>
        <v>5.637885282710757E-2</v>
      </c>
      <c r="G12" s="32"/>
      <c r="H12" s="27">
        <f>H11/$B$11</f>
        <v>0.12124923453766075</v>
      </c>
      <c r="I12" s="32"/>
      <c r="J12" s="27">
        <f>J11/$B$11</f>
        <v>0.26238007756685039</v>
      </c>
      <c r="K12" s="32"/>
      <c r="L12" s="27">
        <f>L11/$B$11</f>
        <v>0.21861604409063073</v>
      </c>
      <c r="M12" s="32"/>
      <c r="N12" s="27">
        <f>N11/$B$11</f>
        <v>0.23025107164727496</v>
      </c>
      <c r="O12" s="32"/>
      <c r="P12" s="27">
        <f>P11/$B$11</f>
        <v>9.7693406817717904E-2</v>
      </c>
      <c r="Q12" s="32"/>
      <c r="R12" s="27">
        <f>R11/$B$11</f>
        <v>7.0626658501735046E-3</v>
      </c>
      <c r="S12" s="3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85">
        <v>2020</v>
      </c>
      <c r="B15" s="92" t="s">
        <v>0</v>
      </c>
      <c r="C15" s="93"/>
      <c r="D15" s="94" t="s">
        <v>1</v>
      </c>
      <c r="E15" s="95"/>
      <c r="F15" s="92" t="s">
        <v>2</v>
      </c>
      <c r="G15" s="93"/>
      <c r="H15" s="94" t="s">
        <v>3</v>
      </c>
      <c r="I15" s="95"/>
      <c r="J15" s="94" t="s">
        <v>4</v>
      </c>
      <c r="K15" s="95"/>
      <c r="L15" s="94" t="s">
        <v>5</v>
      </c>
      <c r="M15" s="95"/>
      <c r="N15" s="94" t="s">
        <v>6</v>
      </c>
      <c r="O15" s="95"/>
      <c r="P15" s="94" t="s">
        <v>7</v>
      </c>
      <c r="Q15" s="95"/>
      <c r="R15" s="94" t="s">
        <v>8</v>
      </c>
      <c r="S15" s="95"/>
    </row>
    <row r="16" spans="1:19" ht="13.5" thickBot="1" x14ac:dyDescent="0.25">
      <c r="A16" s="35"/>
      <c r="B16" s="36" t="s">
        <v>9</v>
      </c>
      <c r="C16" s="37" t="s">
        <v>10</v>
      </c>
      <c r="D16" s="37" t="s">
        <v>9</v>
      </c>
      <c r="E16" s="38" t="s">
        <v>10</v>
      </c>
      <c r="F16" s="37" t="s">
        <v>9</v>
      </c>
      <c r="G16" s="38" t="s">
        <v>10</v>
      </c>
      <c r="H16" s="37" t="s">
        <v>9</v>
      </c>
      <c r="I16" s="38" t="s">
        <v>10</v>
      </c>
      <c r="J16" s="37" t="s">
        <v>9</v>
      </c>
      <c r="K16" s="38" t="s">
        <v>10</v>
      </c>
      <c r="L16" s="37" t="s">
        <v>9</v>
      </c>
      <c r="M16" s="38" t="s">
        <v>10</v>
      </c>
      <c r="N16" s="37" t="s">
        <v>9</v>
      </c>
      <c r="O16" s="38" t="s">
        <v>10</v>
      </c>
      <c r="P16" s="37" t="s">
        <v>9</v>
      </c>
      <c r="Q16" s="38" t="s">
        <v>10</v>
      </c>
      <c r="R16" s="37" t="s">
        <v>9</v>
      </c>
      <c r="S16" s="38" t="s">
        <v>10</v>
      </c>
    </row>
    <row r="17" spans="1:19" ht="15.75" thickBot="1" x14ac:dyDescent="0.3">
      <c r="A17" s="39" t="s">
        <v>11</v>
      </c>
      <c r="B17" s="40">
        <f>D17+F17+H17+J17+L17+N17+P17+R17</f>
        <v>236</v>
      </c>
      <c r="C17" s="15">
        <f>B17/$B$11</f>
        <v>9.6346193100632777E-3</v>
      </c>
      <c r="D17" s="86">
        <v>0</v>
      </c>
      <c r="E17" s="60">
        <v>0</v>
      </c>
      <c r="F17" s="87">
        <v>29</v>
      </c>
      <c r="G17" s="15">
        <v>1.3816102906145784E-2</v>
      </c>
      <c r="H17" s="87">
        <v>26</v>
      </c>
      <c r="I17" s="60">
        <v>5.6143381559058516E-3</v>
      </c>
      <c r="J17" s="87">
        <v>68</v>
      </c>
      <c r="K17" s="60">
        <v>7.4414532720507767E-3</v>
      </c>
      <c r="L17" s="87">
        <v>54</v>
      </c>
      <c r="M17" s="60">
        <v>7.8659868900218498E-3</v>
      </c>
      <c r="N17" s="87">
        <v>33</v>
      </c>
      <c r="O17" s="60">
        <v>5.0644567219152855E-3</v>
      </c>
      <c r="P17" s="87">
        <v>24</v>
      </c>
      <c r="Q17" s="60">
        <v>7.4534161490683228E-3</v>
      </c>
      <c r="R17" s="87">
        <v>2</v>
      </c>
      <c r="S17" s="60">
        <v>6.2305295950155761E-3</v>
      </c>
    </row>
    <row r="18" spans="1:19" ht="15.75" thickBot="1" x14ac:dyDescent="0.3">
      <c r="A18" s="42" t="s">
        <v>12</v>
      </c>
      <c r="B18" s="40">
        <f>D18+F18+H18+J18+L18+N18+P18+R18</f>
        <v>7594</v>
      </c>
      <c r="C18" s="16">
        <f>B18/$B$11</f>
        <v>0.31002245356195141</v>
      </c>
      <c r="D18" s="86">
        <v>64</v>
      </c>
      <c r="E18" s="63">
        <v>0.3595505617977528</v>
      </c>
      <c r="F18" s="87">
        <v>435</v>
      </c>
      <c r="G18" s="16">
        <v>0.20724154359218674</v>
      </c>
      <c r="H18" s="87">
        <v>649</v>
      </c>
      <c r="I18" s="63">
        <v>0.14014251781472684</v>
      </c>
      <c r="J18" s="87">
        <v>1691</v>
      </c>
      <c r="K18" s="63">
        <v>0.18505143357408624</v>
      </c>
      <c r="L18" s="87">
        <v>1740</v>
      </c>
      <c r="M18" s="63">
        <v>0.2534595775673707</v>
      </c>
      <c r="N18" s="87">
        <v>1865</v>
      </c>
      <c r="O18" s="63">
        <v>0.28621853898096994</v>
      </c>
      <c r="P18" s="87">
        <v>1024</v>
      </c>
      <c r="Q18" s="63">
        <v>0.31801242236024846</v>
      </c>
      <c r="R18" s="87">
        <v>126</v>
      </c>
      <c r="S18" s="63">
        <v>0.3925233644859813</v>
      </c>
    </row>
    <row r="19" spans="1:19" ht="15.75" thickBot="1" x14ac:dyDescent="0.3">
      <c r="A19" s="43" t="s">
        <v>13</v>
      </c>
      <c r="B19" s="40">
        <f>D19+F19+H19+J19+L19+N19+P19+R19</f>
        <v>12334</v>
      </c>
      <c r="C19" s="16">
        <f>B19/$B$11</f>
        <v>0.50353133292508678</v>
      </c>
      <c r="D19" s="86">
        <v>70</v>
      </c>
      <c r="E19" s="63">
        <v>0.39325842696629215</v>
      </c>
      <c r="F19" s="87">
        <v>836</v>
      </c>
      <c r="G19" s="16">
        <v>0.39828489757027158</v>
      </c>
      <c r="H19" s="87">
        <v>1379</v>
      </c>
      <c r="I19" s="63">
        <v>0.29777585834592962</v>
      </c>
      <c r="J19" s="87">
        <v>2873</v>
      </c>
      <c r="K19" s="63">
        <v>0.31440140074414535</v>
      </c>
      <c r="L19" s="87">
        <v>2811</v>
      </c>
      <c r="M19" s="63">
        <v>0.40946831755280411</v>
      </c>
      <c r="N19" s="87">
        <v>2919</v>
      </c>
      <c r="O19" s="63">
        <v>0.44797421731123388</v>
      </c>
      <c r="P19" s="87">
        <v>1333</v>
      </c>
      <c r="Q19" s="63">
        <v>0.41397515527950313</v>
      </c>
      <c r="R19" s="87">
        <v>113</v>
      </c>
      <c r="S19" s="63">
        <v>0.35202492211838005</v>
      </c>
    </row>
    <row r="20" spans="1:19" ht="15.75" thickBot="1" x14ac:dyDescent="0.3">
      <c r="A20" s="42" t="s">
        <v>14</v>
      </c>
      <c r="B20" s="40">
        <f>D20+F20+H20+J20+L20+N20+P20+R20</f>
        <v>2666</v>
      </c>
      <c r="C20" s="16">
        <f>B20/$B$11</f>
        <v>0.10883853847724026</v>
      </c>
      <c r="D20" s="86">
        <v>44</v>
      </c>
      <c r="E20" s="63">
        <v>0.24719101123595505</v>
      </c>
      <c r="F20" s="87">
        <v>348</v>
      </c>
      <c r="G20" s="16">
        <v>0.16579323487374942</v>
      </c>
      <c r="H20" s="87">
        <v>370</v>
      </c>
      <c r="I20" s="63">
        <v>7.9896350680198666E-2</v>
      </c>
      <c r="J20" s="87">
        <v>616</v>
      </c>
      <c r="K20" s="63">
        <v>6.741081199387175E-2</v>
      </c>
      <c r="L20" s="87">
        <v>502</v>
      </c>
      <c r="M20" s="63">
        <v>7.3124544792425347E-2</v>
      </c>
      <c r="N20" s="87">
        <v>515</v>
      </c>
      <c r="O20" s="63">
        <v>7.9036218538980976E-2</v>
      </c>
      <c r="P20" s="87">
        <v>249</v>
      </c>
      <c r="Q20" s="63">
        <v>7.7329192546583853E-2</v>
      </c>
      <c r="R20" s="87">
        <v>22</v>
      </c>
      <c r="S20" s="63">
        <v>6.8535825545171333E-2</v>
      </c>
    </row>
    <row r="21" spans="1:19" ht="13.5" thickBot="1" x14ac:dyDescent="0.25">
      <c r="A21" s="89" t="s">
        <v>21</v>
      </c>
      <c r="B21" s="40">
        <f>D21+F21+H21+J21+L21+N21+P21+R21</f>
        <v>10138</v>
      </c>
      <c r="C21" s="17">
        <f>B21/$B$11</f>
        <v>0.4138803837517861</v>
      </c>
      <c r="D21" s="86">
        <v>0</v>
      </c>
      <c r="E21" s="65">
        <v>0</v>
      </c>
      <c r="F21" s="88">
        <v>451</v>
      </c>
      <c r="G21" s="17">
        <v>0.21486422105764649</v>
      </c>
      <c r="H21" s="88">
        <v>2207</v>
      </c>
      <c r="I21" s="65">
        <v>0.47657093500323905</v>
      </c>
      <c r="J21" s="88">
        <v>3890</v>
      </c>
      <c r="K21" s="65">
        <v>0.4256949004158459</v>
      </c>
      <c r="L21" s="88">
        <v>1758</v>
      </c>
      <c r="M21" s="65">
        <v>0.25608157319737801</v>
      </c>
      <c r="N21" s="88">
        <v>1184</v>
      </c>
      <c r="O21" s="65">
        <v>0.18170656844689995</v>
      </c>
      <c r="P21" s="88">
        <v>590</v>
      </c>
      <c r="Q21" s="65">
        <v>0.18322981366459629</v>
      </c>
      <c r="R21" s="88">
        <v>58</v>
      </c>
      <c r="S21" s="65">
        <v>0.18068535825545171</v>
      </c>
    </row>
    <row r="22" spans="1:19" x14ac:dyDescent="0.2">
      <c r="A22" s="39"/>
      <c r="B22" s="44"/>
      <c r="C22" s="45"/>
      <c r="D22" s="68"/>
      <c r="E22" s="46"/>
      <c r="F22" s="25"/>
      <c r="G22" s="46"/>
      <c r="H22" s="25"/>
      <c r="I22" s="45"/>
      <c r="J22" s="25"/>
      <c r="K22" s="45"/>
      <c r="L22" s="26"/>
      <c r="M22" s="45"/>
      <c r="N22" s="25"/>
      <c r="O22" s="45"/>
      <c r="P22" s="47"/>
      <c r="Q22" s="45"/>
      <c r="R22" s="25"/>
      <c r="S22" s="45"/>
    </row>
    <row r="23" spans="1:19" x14ac:dyDescent="0.2">
      <c r="A23" s="43" t="s">
        <v>16</v>
      </c>
      <c r="B23" s="48">
        <f>SUM(B17:B21)</f>
        <v>32968</v>
      </c>
      <c r="C23" s="45">
        <f>B23/$B$11</f>
        <v>1.3459073280261278</v>
      </c>
      <c r="D23" s="49">
        <f>SUM(D17:D21)</f>
        <v>178</v>
      </c>
      <c r="E23" s="67">
        <f t="shared" ref="E23" si="4">SUM(E17:E21)</f>
        <v>1</v>
      </c>
      <c r="F23" s="50">
        <f>SUM(F17:F21)</f>
        <v>2099</v>
      </c>
      <c r="G23" s="67">
        <f t="shared" ref="G23" si="5">SUM(G17:G21)</f>
        <v>1</v>
      </c>
      <c r="H23" s="50">
        <f>SUM(H17:H21)</f>
        <v>4631</v>
      </c>
      <c r="I23" s="67">
        <f t="shared" ref="I23" si="6">SUM(I17:I21)</f>
        <v>1</v>
      </c>
      <c r="J23" s="47">
        <f>SUM(J17:J21)</f>
        <v>9138</v>
      </c>
      <c r="K23" s="67">
        <f>SUM(K17:K21)</f>
        <v>1</v>
      </c>
      <c r="L23" s="47">
        <f>SUM(L17:L21)</f>
        <v>6865</v>
      </c>
      <c r="M23" s="67">
        <f t="shared" ref="M23" si="7">SUM(M17:M21)</f>
        <v>1</v>
      </c>
      <c r="N23" s="47">
        <f>SUM(N17:N21)</f>
        <v>6516</v>
      </c>
      <c r="O23" s="67">
        <f t="shared" ref="O23" si="8">SUM(O17:O21)</f>
        <v>1</v>
      </c>
      <c r="P23" s="47">
        <f>SUM(P17:P21)</f>
        <v>3220</v>
      </c>
      <c r="Q23" s="67">
        <f t="shared" ref="Q23" si="9">SUM(Q17:Q21)</f>
        <v>1</v>
      </c>
      <c r="R23" s="47">
        <f>SUM(R17:R21)</f>
        <v>321</v>
      </c>
      <c r="S23" s="67">
        <f t="shared" ref="S23" si="10">SUM(S17:S21)</f>
        <v>1</v>
      </c>
    </row>
    <row r="24" spans="1:19" ht="13.5" thickBot="1" x14ac:dyDescent="0.25">
      <c r="A24" s="51" t="s">
        <v>17</v>
      </c>
      <c r="B24" s="52">
        <f>B23/$B$11</f>
        <v>1.3459073280261278</v>
      </c>
      <c r="C24" s="52"/>
      <c r="D24" s="27">
        <f>D23/$B$11</f>
        <v>7.2667891406409469E-3</v>
      </c>
      <c r="E24" s="52"/>
      <c r="F24" s="28">
        <f>F23/$B$11</f>
        <v>8.5690957338232288E-2</v>
      </c>
      <c r="G24" s="52"/>
      <c r="H24" s="28">
        <f>H23/$B$11</f>
        <v>0.18905899163094508</v>
      </c>
      <c r="I24" s="52"/>
      <c r="J24" s="28">
        <f>J23/$B$11</f>
        <v>0.37305572565829759</v>
      </c>
      <c r="K24" s="52"/>
      <c r="L24" s="28">
        <f>L23/$B$11</f>
        <v>0.28026127781179833</v>
      </c>
      <c r="M24" s="52"/>
      <c r="N24" s="28">
        <f>N23/$B$11</f>
        <v>0.26601347213717086</v>
      </c>
      <c r="O24" s="52"/>
      <c r="P24" s="28">
        <f>P23/$B$11</f>
        <v>0.13145539906103287</v>
      </c>
      <c r="Q24" s="52"/>
      <c r="R24" s="28">
        <f>R23/$B$11</f>
        <v>1.3104715248009798E-2</v>
      </c>
      <c r="S24" s="5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</sheetData>
  <mergeCells count="18">
    <mergeCell ref="P15:Q15"/>
    <mergeCell ref="J15:K15"/>
    <mergeCell ref="L15:M15"/>
    <mergeCell ref="N15:O15"/>
    <mergeCell ref="R15:S15"/>
    <mergeCell ref="N3:O3"/>
    <mergeCell ref="P3:Q3"/>
    <mergeCell ref="R3:S3"/>
    <mergeCell ref="J3:K3"/>
    <mergeCell ref="L3:M3"/>
    <mergeCell ref="B15:C15"/>
    <mergeCell ref="B3:C3"/>
    <mergeCell ref="D3:E3"/>
    <mergeCell ref="F3:G3"/>
    <mergeCell ref="H3:I3"/>
    <mergeCell ref="D15:E15"/>
    <mergeCell ref="F15:G15"/>
    <mergeCell ref="H15:I15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="99" zoomScaleNormal="99" workbookViewId="0">
      <selection activeCell="U32" sqref="U32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8.7109375" customWidth="1"/>
    <col min="5" max="5" width="6" customWidth="1"/>
    <col min="6" max="6" width="7" customWidth="1"/>
    <col min="7" max="7" width="5.7109375" customWidth="1"/>
    <col min="8" max="8" width="6.85546875" customWidth="1"/>
    <col min="9" max="9" width="6.28515625" customWidth="1"/>
    <col min="10" max="10" width="7.42578125" customWidth="1"/>
    <col min="11" max="11" width="6.140625" customWidth="1"/>
    <col min="12" max="12" width="7.28515625" customWidth="1"/>
    <col min="13" max="13" width="5.5703125" customWidth="1"/>
    <col min="14" max="14" width="7.7109375" customWidth="1"/>
    <col min="15" max="15" width="5.7109375" customWidth="1"/>
    <col min="16" max="16" width="6.85546875" customWidth="1"/>
    <col min="17" max="17" width="5.5703125" customWidth="1"/>
    <col min="18" max="18" width="7" customWidth="1"/>
    <col min="19" max="19" width="5.7109375" customWidth="1"/>
  </cols>
  <sheetData>
    <row r="1" spans="1:21" x14ac:dyDescent="0.2">
      <c r="A1" s="1" t="s">
        <v>32</v>
      </c>
    </row>
    <row r="2" spans="1:21" ht="13.5" thickBot="1" x14ac:dyDescent="0.25">
      <c r="A2" s="81" t="s">
        <v>20</v>
      </c>
    </row>
    <row r="3" spans="1:21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21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21" ht="15" x14ac:dyDescent="0.25">
      <c r="A5" s="39" t="s">
        <v>11</v>
      </c>
      <c r="B5" s="66">
        <f>D5+F5+H5+J5+L5+N5+P5+R5</f>
        <v>138</v>
      </c>
      <c r="C5" s="15">
        <f>B5/$B$11</f>
        <v>5.457781293256872E-3</v>
      </c>
      <c r="D5" s="86">
        <v>4</v>
      </c>
      <c r="E5" s="15">
        <f>D5/$D$11</f>
        <v>2.7397260273972601E-2</v>
      </c>
      <c r="F5" s="87">
        <v>13</v>
      </c>
      <c r="G5" s="15">
        <f>F5/$F$11</f>
        <v>9.5799557848194553E-3</v>
      </c>
      <c r="H5" s="87">
        <v>10</v>
      </c>
      <c r="I5" s="15">
        <f>H5/$H$11</f>
        <v>3.2446463335496431E-3</v>
      </c>
      <c r="J5" s="87">
        <v>35</v>
      </c>
      <c r="K5" s="15">
        <f>J5/$J$11</f>
        <v>5.3435114503816794E-3</v>
      </c>
      <c r="L5" s="87">
        <v>35</v>
      </c>
      <c r="M5" s="15">
        <f>L5/$L$11</f>
        <v>6.1990789939780373E-3</v>
      </c>
      <c r="N5" s="87">
        <v>26</v>
      </c>
      <c r="O5" s="15">
        <f>N5/$N$11</f>
        <v>4.4270389919972754E-3</v>
      </c>
      <c r="P5" s="87">
        <v>14</v>
      </c>
      <c r="Q5" s="15">
        <f>P5/$P$11</f>
        <v>5.7003257328990227E-3</v>
      </c>
      <c r="R5" s="87">
        <v>1</v>
      </c>
      <c r="S5" s="15">
        <f>R5/$R$11</f>
        <v>5.7142857142857143E-3</v>
      </c>
    </row>
    <row r="6" spans="1:21" ht="15" x14ac:dyDescent="0.25">
      <c r="A6" s="42" t="s">
        <v>12</v>
      </c>
      <c r="B6" s="62">
        <f>D6+F6+H6+J6+L6+N6+P6+R6</f>
        <v>6813</v>
      </c>
      <c r="C6" s="16">
        <f>B6/$B$11</f>
        <v>0.2694482894997034</v>
      </c>
      <c r="D6" s="86">
        <v>63</v>
      </c>
      <c r="E6" s="16">
        <f>D6/$D$11</f>
        <v>0.4315068493150685</v>
      </c>
      <c r="F6" s="87">
        <v>343</v>
      </c>
      <c r="G6" s="73">
        <f>F6/$F$11</f>
        <v>0.25276344878408252</v>
      </c>
      <c r="H6" s="87">
        <v>565</v>
      </c>
      <c r="I6" s="73">
        <f>H6/$H$11</f>
        <v>0.18332251784555484</v>
      </c>
      <c r="J6" s="87">
        <v>1467</v>
      </c>
      <c r="K6" s="73">
        <f>J6/$J$11</f>
        <v>0.22396946564885495</v>
      </c>
      <c r="L6" s="87">
        <v>1601</v>
      </c>
      <c r="M6" s="73">
        <f>L6/$L$11</f>
        <v>0.28356358483882393</v>
      </c>
      <c r="N6" s="87">
        <v>1850</v>
      </c>
      <c r="O6" s="73">
        <f>N6/$N$11</f>
        <v>0.3150008513536523</v>
      </c>
      <c r="P6" s="87">
        <v>840</v>
      </c>
      <c r="Q6" s="73">
        <f>P6/$P$11</f>
        <v>0.34201954397394135</v>
      </c>
      <c r="R6" s="87">
        <v>84</v>
      </c>
      <c r="S6" s="73">
        <f>R6/$R$11</f>
        <v>0.48</v>
      </c>
    </row>
    <row r="7" spans="1:21" ht="15" x14ac:dyDescent="0.25">
      <c r="A7" s="43" t="s">
        <v>13</v>
      </c>
      <c r="B7" s="48">
        <f>D7+F7+H7+J7+L7+N7+P7+R7</f>
        <v>9985</v>
      </c>
      <c r="C7" s="45">
        <f>B7/$B$11</f>
        <v>0.39489816096499902</v>
      </c>
      <c r="D7" s="86">
        <v>49</v>
      </c>
      <c r="E7" s="45">
        <f>D7/$D$11</f>
        <v>0.33561643835616439</v>
      </c>
      <c r="F7" s="87">
        <v>558</v>
      </c>
      <c r="G7" s="45">
        <f>F7/$F$11</f>
        <v>0.41120117907148118</v>
      </c>
      <c r="H7" s="87">
        <v>1001</v>
      </c>
      <c r="I7" s="45">
        <f>H7/$H$11</f>
        <v>0.32478909798831929</v>
      </c>
      <c r="J7" s="87">
        <v>2240</v>
      </c>
      <c r="K7" s="45">
        <f>J7/$J$11</f>
        <v>0.34198473282442748</v>
      </c>
      <c r="L7" s="87">
        <v>2413</v>
      </c>
      <c r="M7" s="45">
        <f>L7/$L$11</f>
        <v>0.42738221749911443</v>
      </c>
      <c r="N7" s="87">
        <v>2669</v>
      </c>
      <c r="O7" s="45">
        <f>N7/$N$11</f>
        <v>0.45445257960156649</v>
      </c>
      <c r="P7" s="87">
        <v>1002</v>
      </c>
      <c r="Q7" s="45">
        <f>P7/$P$11</f>
        <v>0.40798045602605865</v>
      </c>
      <c r="R7" s="87">
        <v>53</v>
      </c>
      <c r="S7" s="45">
        <f>R7/$R$11</f>
        <v>0.30285714285714288</v>
      </c>
      <c r="T7" s="80"/>
      <c r="U7" s="3"/>
    </row>
    <row r="8" spans="1:21" ht="15" x14ac:dyDescent="0.25">
      <c r="A8" s="42" t="s">
        <v>14</v>
      </c>
      <c r="B8" s="62">
        <f>D8+F8+H8+J8+L8+N8+P8+R8</f>
        <v>2238</v>
      </c>
      <c r="C8" s="16">
        <f>B8/$B$11</f>
        <v>8.8510974886296223E-2</v>
      </c>
      <c r="D8" s="86">
        <v>30</v>
      </c>
      <c r="E8" s="16">
        <f>D8/$D$11</f>
        <v>0.20547945205479451</v>
      </c>
      <c r="F8" s="87">
        <v>232</v>
      </c>
      <c r="G8" s="16">
        <f>F8/$F$11</f>
        <v>0.17096536477523949</v>
      </c>
      <c r="H8" s="87">
        <v>302</v>
      </c>
      <c r="I8" s="16">
        <f>H8/$H$11</f>
        <v>9.7988319273199218E-2</v>
      </c>
      <c r="J8" s="87">
        <v>549</v>
      </c>
      <c r="K8" s="16">
        <f>J8/$J$11</f>
        <v>8.3816793893129765E-2</v>
      </c>
      <c r="L8" s="87">
        <v>457</v>
      </c>
      <c r="M8" s="16">
        <f>L8/$L$11</f>
        <v>8.0942260007084668E-2</v>
      </c>
      <c r="N8" s="87">
        <v>463</v>
      </c>
      <c r="O8" s="16">
        <f>N8/$N$11</f>
        <v>7.8835348203643796E-2</v>
      </c>
      <c r="P8" s="87">
        <v>196</v>
      </c>
      <c r="Q8" s="16">
        <f>P8/$P$11</f>
        <v>7.9804560260586313E-2</v>
      </c>
      <c r="R8" s="87">
        <v>9</v>
      </c>
      <c r="S8" s="75">
        <f>R8/$R$11</f>
        <v>5.1428571428571428E-2</v>
      </c>
    </row>
    <row r="9" spans="1:21" ht="13.5" thickBot="1" x14ac:dyDescent="0.25">
      <c r="A9" s="89" t="s">
        <v>21</v>
      </c>
      <c r="B9" s="74">
        <f>D9+F9+H9+J9+L9+N9+P9+R9</f>
        <v>6111</v>
      </c>
      <c r="C9" s="52">
        <f>B9/$B$11</f>
        <v>0.24168479335574453</v>
      </c>
      <c r="D9" s="86">
        <v>0</v>
      </c>
      <c r="E9" s="52">
        <f>D9/$D$11</f>
        <v>0</v>
      </c>
      <c r="F9" s="88">
        <f>75+136</f>
        <v>211</v>
      </c>
      <c r="G9" s="52">
        <f>F9/$F$11</f>
        <v>0.15549005158437731</v>
      </c>
      <c r="H9" s="88">
        <f>306+898</f>
        <v>1204</v>
      </c>
      <c r="I9" s="52">
        <f>H9/$H$11</f>
        <v>0.39065541855937702</v>
      </c>
      <c r="J9" s="88">
        <f>586+1673</f>
        <v>2259</v>
      </c>
      <c r="K9" s="52">
        <f>J9/$J$11</f>
        <v>0.34488549618320613</v>
      </c>
      <c r="L9" s="88">
        <f>495+645</f>
        <v>1140</v>
      </c>
      <c r="M9" s="52">
        <f>L9/$L$11</f>
        <v>0.20191285866099895</v>
      </c>
      <c r="N9" s="88">
        <f>353+512</f>
        <v>865</v>
      </c>
      <c r="O9" s="52">
        <f>N9/$N$11</f>
        <v>0.14728418184914013</v>
      </c>
      <c r="P9" s="88">
        <f>150+254</f>
        <v>404</v>
      </c>
      <c r="Q9" s="52">
        <f>P9/$P$11</f>
        <v>0.16449511400651465</v>
      </c>
      <c r="R9" s="88">
        <v>28</v>
      </c>
      <c r="S9" s="52">
        <f>R9/$R$11</f>
        <v>0.16</v>
      </c>
    </row>
    <row r="10" spans="1:21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21" x14ac:dyDescent="0.2">
      <c r="A11" s="43" t="s">
        <v>16</v>
      </c>
      <c r="B11" s="48">
        <f>SUM(B5:B9)</f>
        <v>25285</v>
      </c>
      <c r="C11" s="45">
        <f>B11/$B$11</f>
        <v>1</v>
      </c>
      <c r="D11" s="49">
        <f>SUM(D5:D9)</f>
        <v>146</v>
      </c>
      <c r="E11" s="45">
        <f>D11/$D$11</f>
        <v>1</v>
      </c>
      <c r="F11" s="50">
        <f>SUM(F5:F9)</f>
        <v>1357</v>
      </c>
      <c r="G11" s="45">
        <f>F11/$F$11</f>
        <v>1</v>
      </c>
      <c r="H11" s="50">
        <f>SUM(H5:H9)</f>
        <v>3082</v>
      </c>
      <c r="I11" s="45">
        <f>H11/$H$11</f>
        <v>1</v>
      </c>
      <c r="J11" s="47">
        <f>SUM(J5:J9)</f>
        <v>6550</v>
      </c>
      <c r="K11" s="45">
        <f>J11/$J$11</f>
        <v>1</v>
      </c>
      <c r="L11" s="47">
        <f>SUM(L5:L9)</f>
        <v>5646</v>
      </c>
      <c r="M11" s="45">
        <f>L11/$L$11</f>
        <v>1</v>
      </c>
      <c r="N11" s="47">
        <f>SUM(N5:N9)</f>
        <v>5873</v>
      </c>
      <c r="O11" s="45">
        <f>N11/$N$11</f>
        <v>1</v>
      </c>
      <c r="P11" s="47">
        <f>SUM(P5:P9)</f>
        <v>2456</v>
      </c>
      <c r="Q11" s="45">
        <f>P11/$P$11</f>
        <v>1</v>
      </c>
      <c r="R11" s="47">
        <f>SUM(R5:R9)</f>
        <v>175</v>
      </c>
      <c r="S11" s="45">
        <f>R11/$R$11</f>
        <v>1</v>
      </c>
    </row>
    <row r="12" spans="1:21" ht="13.5" thickBot="1" x14ac:dyDescent="0.25">
      <c r="A12" s="51" t="s">
        <v>17</v>
      </c>
      <c r="B12" s="52">
        <f>B11/$B$11</f>
        <v>1</v>
      </c>
      <c r="C12" s="52"/>
      <c r="D12" s="27">
        <f>D11/$B$11</f>
        <v>5.7741744117065456E-3</v>
      </c>
      <c r="E12" s="52"/>
      <c r="F12" s="28">
        <f>F11/$B$11</f>
        <v>5.3668182717025906E-2</v>
      </c>
      <c r="G12" s="52"/>
      <c r="H12" s="28">
        <f>H11/$B$11</f>
        <v>0.1218904488827368</v>
      </c>
      <c r="I12" s="52"/>
      <c r="J12" s="28">
        <f>J11/$B$11</f>
        <v>0.25904686573067037</v>
      </c>
      <c r="K12" s="52"/>
      <c r="L12" s="28">
        <f>L11/$B$11</f>
        <v>0.22329444334585724</v>
      </c>
      <c r="M12" s="52"/>
      <c r="N12" s="28">
        <f>N11/$B$11</f>
        <v>0.23227209808186672</v>
      </c>
      <c r="O12" s="52"/>
      <c r="P12" s="28">
        <f>P11/$B$11</f>
        <v>9.7132687364049827E-2</v>
      </c>
      <c r="Q12" s="52"/>
      <c r="R12" s="28">
        <f>R11/$B$11</f>
        <v>6.9210994660866129E-3</v>
      </c>
      <c r="S12" s="52"/>
    </row>
    <row r="13" spans="1:21" x14ac:dyDescent="0.2">
      <c r="A13" s="43"/>
      <c r="B13" s="77"/>
      <c r="C13" s="78"/>
      <c r="D13" s="77"/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78"/>
    </row>
    <row r="14" spans="1:21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21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21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235</v>
      </c>
      <c r="C17" s="60">
        <f>B17/B23</f>
        <v>7.0397220058714275E-3</v>
      </c>
      <c r="D17" s="86">
        <v>0</v>
      </c>
      <c r="E17" s="60">
        <v>0</v>
      </c>
      <c r="F17" s="87">
        <v>25</v>
      </c>
      <c r="G17" s="60">
        <v>1.1853959222380275E-2</v>
      </c>
      <c r="H17" s="87">
        <v>26</v>
      </c>
      <c r="I17" s="60">
        <v>5.6204063986165153E-3</v>
      </c>
      <c r="J17" s="87">
        <v>66</v>
      </c>
      <c r="K17" s="60">
        <v>7.160681349679939E-3</v>
      </c>
      <c r="L17" s="87">
        <v>59</v>
      </c>
      <c r="M17" s="60">
        <v>8.4093500570125435E-3</v>
      </c>
      <c r="N17" s="87">
        <v>32</v>
      </c>
      <c r="O17" s="60">
        <v>4.8676604806814723E-3</v>
      </c>
      <c r="P17" s="87">
        <v>25</v>
      </c>
      <c r="Q17" s="60">
        <v>7.5075075075075074E-3</v>
      </c>
      <c r="R17" s="87">
        <v>2</v>
      </c>
      <c r="S17" s="60">
        <v>5.9701492537313433E-3</v>
      </c>
    </row>
    <row r="18" spans="1:19" ht="15" x14ac:dyDescent="0.25">
      <c r="A18" s="61" t="s">
        <v>12</v>
      </c>
      <c r="B18" s="62">
        <f>D18+F18+H18+J18+L18+N18+P18+R18</f>
        <v>7720</v>
      </c>
      <c r="C18" s="63">
        <f>B18/B23</f>
        <v>0.23126235695884009</v>
      </c>
      <c r="D18" s="86">
        <v>68</v>
      </c>
      <c r="E18" s="63">
        <v>0.38857142857142857</v>
      </c>
      <c r="F18" s="87">
        <v>431</v>
      </c>
      <c r="G18" s="63">
        <v>0.20436225699383595</v>
      </c>
      <c r="H18" s="87">
        <v>658</v>
      </c>
      <c r="I18" s="63">
        <v>0.14223951578037181</v>
      </c>
      <c r="J18" s="87">
        <v>1703</v>
      </c>
      <c r="K18" s="63">
        <v>0.18476727785613539</v>
      </c>
      <c r="L18" s="87">
        <v>1770</v>
      </c>
      <c r="M18" s="63">
        <v>0.2522805017103763</v>
      </c>
      <c r="N18" s="87">
        <v>1904</v>
      </c>
      <c r="O18" s="63">
        <v>0.2896257986005476</v>
      </c>
      <c r="P18" s="87">
        <v>1054</v>
      </c>
      <c r="Q18" s="63">
        <v>0.31651651651651652</v>
      </c>
      <c r="R18" s="87">
        <v>132</v>
      </c>
      <c r="S18" s="63">
        <v>0.10746268656716418</v>
      </c>
    </row>
    <row r="19" spans="1:19" ht="15" x14ac:dyDescent="0.25">
      <c r="A19" s="29" t="s">
        <v>13</v>
      </c>
      <c r="B19" s="62">
        <f>D19+F19+H19+J19+L19+N19+P19+R19</f>
        <v>12487</v>
      </c>
      <c r="C19" s="63">
        <f>B19/B23</f>
        <v>0.3740638667545384</v>
      </c>
      <c r="D19" s="86">
        <v>66</v>
      </c>
      <c r="E19" s="63">
        <v>0.37714285714285717</v>
      </c>
      <c r="F19" s="87">
        <v>830</v>
      </c>
      <c r="G19" s="63">
        <v>0.39355144618302512</v>
      </c>
      <c r="H19" s="87">
        <v>1426</v>
      </c>
      <c r="I19" s="63">
        <v>0.3082576740164289</v>
      </c>
      <c r="J19" s="87">
        <v>2908</v>
      </c>
      <c r="K19" s="63">
        <v>0.31550396007377673</v>
      </c>
      <c r="L19" s="87">
        <v>2835</v>
      </c>
      <c r="M19" s="63">
        <v>0.40407639680729762</v>
      </c>
      <c r="N19" s="87">
        <v>2919</v>
      </c>
      <c r="O19" s="63">
        <v>0.44402190447216305</v>
      </c>
      <c r="P19" s="87">
        <v>1381</v>
      </c>
      <c r="Q19" s="63">
        <v>0.41471471471471472</v>
      </c>
      <c r="R19" s="87">
        <v>122</v>
      </c>
      <c r="S19" s="63">
        <v>0.36417910447761193</v>
      </c>
    </row>
    <row r="20" spans="1:19" ht="15" x14ac:dyDescent="0.25">
      <c r="A20" s="61" t="s">
        <v>14</v>
      </c>
      <c r="B20" s="62">
        <f>D20+F20+H20+J20+L20+N20+P20+R20</f>
        <v>2698</v>
      </c>
      <c r="C20" s="76">
        <f>B20/B23</f>
        <v>8.0821999880174938E-2</v>
      </c>
      <c r="D20" s="86">
        <v>41</v>
      </c>
      <c r="E20" s="63">
        <v>0.23428571428571429</v>
      </c>
      <c r="F20" s="87">
        <v>348</v>
      </c>
      <c r="G20" s="63">
        <v>0.16500711237553342</v>
      </c>
      <c r="H20" s="87">
        <v>377</v>
      </c>
      <c r="I20" s="63">
        <v>8.1495892779939474E-2</v>
      </c>
      <c r="J20" s="87">
        <v>626</v>
      </c>
      <c r="K20" s="63">
        <v>6.7917977649994576E-2</v>
      </c>
      <c r="L20" s="87">
        <v>524</v>
      </c>
      <c r="M20" s="63">
        <v>7.4686431014823265E-2</v>
      </c>
      <c r="N20" s="87">
        <v>504</v>
      </c>
      <c r="O20" s="63">
        <v>7.6665652570733198E-2</v>
      </c>
      <c r="P20" s="87">
        <v>257</v>
      </c>
      <c r="Q20" s="63">
        <v>7.7177177177177175E-2</v>
      </c>
      <c r="R20" s="87">
        <v>21</v>
      </c>
      <c r="S20" s="63">
        <v>6.2686567164179099E-2</v>
      </c>
    </row>
    <row r="21" spans="1:19" ht="13.5" thickBot="1" x14ac:dyDescent="0.25">
      <c r="A21" s="89" t="s">
        <v>21</v>
      </c>
      <c r="B21" s="72">
        <f>D21+F21+H21+J21+L21+N21+P21+R21</f>
        <v>10242</v>
      </c>
      <c r="C21" s="32">
        <f>B21/B23</f>
        <v>0.30681205440057518</v>
      </c>
      <c r="D21" s="86">
        <v>0</v>
      </c>
      <c r="E21" s="65">
        <v>0</v>
      </c>
      <c r="F21" s="88">
        <v>475</v>
      </c>
      <c r="G21" s="65">
        <v>0.22522522522522523</v>
      </c>
      <c r="H21" s="88">
        <v>2139</v>
      </c>
      <c r="I21" s="65">
        <v>0.46238651102464334</v>
      </c>
      <c r="J21" s="88">
        <v>3914</v>
      </c>
      <c r="K21" s="65">
        <v>0.42465010307041334</v>
      </c>
      <c r="L21" s="88">
        <v>1828</v>
      </c>
      <c r="M21" s="65">
        <v>0.26054732041049034</v>
      </c>
      <c r="N21" s="88">
        <v>1215</v>
      </c>
      <c r="O21" s="65">
        <v>0.18481898387587467</v>
      </c>
      <c r="P21" s="88">
        <v>613</v>
      </c>
      <c r="Q21" s="65">
        <v>0.18408408408408408</v>
      </c>
      <c r="R21" s="88">
        <v>58</v>
      </c>
      <c r="S21" s="65">
        <v>0.45970149253731341</v>
      </c>
    </row>
    <row r="22" spans="1:19" x14ac:dyDescent="0.2">
      <c r="A22" s="59"/>
      <c r="B22" s="66"/>
      <c r="C22" s="67"/>
      <c r="D22" s="68"/>
      <c r="E22" s="46"/>
      <c r="F22" s="68"/>
      <c r="G22" s="46"/>
      <c r="H22" s="70"/>
      <c r="I22" s="46"/>
      <c r="J22" s="68"/>
      <c r="K22" s="46"/>
      <c r="L22" s="50"/>
      <c r="M22" s="46"/>
      <c r="N22" s="70"/>
      <c r="O22" s="46"/>
      <c r="P22" s="50"/>
      <c r="Q22" s="46"/>
      <c r="R22" s="70"/>
      <c r="S22" s="46"/>
    </row>
    <row r="23" spans="1:19" x14ac:dyDescent="0.2">
      <c r="A23" s="29" t="s">
        <v>16</v>
      </c>
      <c r="B23" s="48">
        <f>D23+F23+H23+J23+L23+N23+P23+R23</f>
        <v>33382</v>
      </c>
      <c r="C23" s="67">
        <f t="shared" ref="C23:R23" si="0">SUM(C17:C21)</f>
        <v>1</v>
      </c>
      <c r="D23" s="71">
        <f t="shared" si="0"/>
        <v>175</v>
      </c>
      <c r="E23" s="67">
        <f t="shared" ref="E23" si="1">SUM(E17:E21)</f>
        <v>1</v>
      </c>
      <c r="F23" s="71">
        <f t="shared" si="0"/>
        <v>2109</v>
      </c>
      <c r="G23" s="67">
        <f t="shared" ref="G23" si="2">SUM(G17:G21)</f>
        <v>1</v>
      </c>
      <c r="H23" s="50">
        <f t="shared" si="0"/>
        <v>4626</v>
      </c>
      <c r="I23" s="67">
        <f t="shared" ref="I23" si="3">SUM(I17:I21)</f>
        <v>1</v>
      </c>
      <c r="J23" s="71">
        <f t="shared" si="0"/>
        <v>9217</v>
      </c>
      <c r="K23" s="67">
        <f t="shared" ref="K23" si="4">SUM(K17:K21)</f>
        <v>1</v>
      </c>
      <c r="L23" s="50">
        <f t="shared" si="0"/>
        <v>7016</v>
      </c>
      <c r="M23" s="67">
        <f t="shared" ref="M23" si="5">SUM(M17:M21)</f>
        <v>1</v>
      </c>
      <c r="N23" s="50">
        <f t="shared" si="0"/>
        <v>6574</v>
      </c>
      <c r="O23" s="67">
        <f t="shared" ref="O23" si="6">SUM(O17:O21)</f>
        <v>1</v>
      </c>
      <c r="P23" s="50">
        <f t="shared" si="0"/>
        <v>3330</v>
      </c>
      <c r="Q23" s="67">
        <f t="shared" ref="Q23" si="7">SUM(Q17:Q21)</f>
        <v>1</v>
      </c>
      <c r="R23" s="50">
        <f t="shared" si="0"/>
        <v>335</v>
      </c>
      <c r="S23" s="67">
        <f t="shared" ref="S23" si="8">SUM(S17:S21)</f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5.2423461745851061E-3</v>
      </c>
      <c r="E24" s="32"/>
      <c r="F24" s="32">
        <f>F23/$B$23</f>
        <v>6.3177760469714211E-2</v>
      </c>
      <c r="G24" s="32"/>
      <c r="H24" s="32">
        <f>H23/$B$23</f>
        <v>0.13857767659217543</v>
      </c>
      <c r="I24" s="32"/>
      <c r="J24" s="32">
        <f>J23/$B$23</f>
        <v>0.27610688394943383</v>
      </c>
      <c r="K24" s="32"/>
      <c r="L24" s="33">
        <f>L23/$B$23</f>
        <v>0.2101731472050806</v>
      </c>
      <c r="M24" s="32"/>
      <c r="N24" s="33">
        <f>N23/$B$23</f>
        <v>0.19693247858127133</v>
      </c>
      <c r="O24" s="32"/>
      <c r="P24" s="33">
        <f>P23/$B$23</f>
        <v>9.9754358636390872E-2</v>
      </c>
      <c r="Q24" s="32"/>
      <c r="R24" s="33">
        <f>R23/$B$23</f>
        <v>1.0035348391348632E-2</v>
      </c>
      <c r="S24" s="32"/>
    </row>
    <row r="25" spans="1:19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B3:C3"/>
    <mergeCell ref="D3:E3"/>
    <mergeCell ref="L15:M15"/>
    <mergeCell ref="F3:G3"/>
    <mergeCell ref="H3:I3"/>
    <mergeCell ref="J3:K3"/>
    <mergeCell ref="L3:M3"/>
    <mergeCell ref="R3:S3"/>
    <mergeCell ref="B15:C15"/>
    <mergeCell ref="D15:E15"/>
    <mergeCell ref="F15:G15"/>
    <mergeCell ref="H15:I15"/>
    <mergeCell ref="J15:K15"/>
    <mergeCell ref="N15:O15"/>
    <mergeCell ref="P15:Q15"/>
    <mergeCell ref="R15:S15"/>
    <mergeCell ref="N3:O3"/>
    <mergeCell ref="P3:Q3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19" sqref="B19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6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22</v>
      </c>
    </row>
    <row r="2" spans="1:19" ht="13.5" thickBot="1" x14ac:dyDescent="0.25">
      <c r="A2" s="81" t="s">
        <v>20</v>
      </c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124</v>
      </c>
      <c r="C5" s="15">
        <f>B5/$B$11</f>
        <v>4.0063325902232562E-3</v>
      </c>
      <c r="D5" s="86">
        <v>4</v>
      </c>
      <c r="E5" s="15">
        <f>D5/$D$11</f>
        <v>2.2988505747126436E-2</v>
      </c>
      <c r="F5" s="87">
        <v>15</v>
      </c>
      <c r="G5" s="15">
        <f>F5/$F$11</f>
        <v>8.2056892778993428E-3</v>
      </c>
      <c r="H5" s="87">
        <v>13</v>
      </c>
      <c r="I5" s="15">
        <f>H5/$H$11</f>
        <v>3.3462033462033462E-3</v>
      </c>
      <c r="J5" s="87">
        <v>24</v>
      </c>
      <c r="K5" s="15">
        <f>J5/$J$11</f>
        <v>2.9585798816568047E-3</v>
      </c>
      <c r="L5" s="87">
        <v>32</v>
      </c>
      <c r="M5" s="15">
        <f>L5/$L$11</f>
        <v>4.8360284116669185E-3</v>
      </c>
      <c r="N5" s="87">
        <v>26</v>
      </c>
      <c r="O5" s="15">
        <f>N5/$N$11</f>
        <v>3.6061026352288486E-3</v>
      </c>
      <c r="P5" s="87">
        <v>10</v>
      </c>
      <c r="Q5" s="15">
        <f>P5/$P$11</f>
        <v>3.4083162917518746E-3</v>
      </c>
      <c r="R5" s="87">
        <v>0</v>
      </c>
      <c r="S5" s="15">
        <f>R5/$R$11</f>
        <v>0</v>
      </c>
    </row>
    <row r="6" spans="1:19" ht="15.75" thickBot="1" x14ac:dyDescent="0.3">
      <c r="A6" s="42" t="s">
        <v>12</v>
      </c>
      <c r="B6" s="40">
        <f>D6+F6+H6+J6+L6+N6+P6+R6</f>
        <v>7838</v>
      </c>
      <c r="C6" s="16">
        <f>B6/$B$11</f>
        <v>0.25323899066266031</v>
      </c>
      <c r="D6" s="86">
        <v>67</v>
      </c>
      <c r="E6" s="16">
        <f>D6/$D$11</f>
        <v>0.38505747126436779</v>
      </c>
      <c r="F6" s="87">
        <v>375</v>
      </c>
      <c r="G6" s="73">
        <f>F6/$F$11</f>
        <v>0.2051422319474836</v>
      </c>
      <c r="H6" s="87">
        <v>591</v>
      </c>
      <c r="I6" s="73">
        <f>H6/$H$11</f>
        <v>0.15212355212355214</v>
      </c>
      <c r="J6" s="87">
        <v>1638</v>
      </c>
      <c r="K6" s="73">
        <f>J6/$J$11</f>
        <v>0.20192307692307693</v>
      </c>
      <c r="L6" s="87">
        <v>1815</v>
      </c>
      <c r="M6" s="73">
        <f>L6/$L$11</f>
        <v>0.27429348647423302</v>
      </c>
      <c r="N6" s="87">
        <v>2199</v>
      </c>
      <c r="O6" s="73">
        <f>N6/$N$11</f>
        <v>0.30499306518723995</v>
      </c>
      <c r="P6" s="87">
        <v>1067</v>
      </c>
      <c r="Q6" s="73">
        <f>P6/$P$11</f>
        <v>0.36366734832992503</v>
      </c>
      <c r="R6" s="87">
        <v>86</v>
      </c>
      <c r="S6" s="73">
        <f>R6/$R$11</f>
        <v>0.45026178010471202</v>
      </c>
    </row>
    <row r="7" spans="1:19" ht="15.75" thickBot="1" x14ac:dyDescent="0.3">
      <c r="A7" s="43" t="s">
        <v>13</v>
      </c>
      <c r="B7" s="40">
        <f>D7+F7+H7+J7+L7+N7+P7+R7</f>
        <v>12599</v>
      </c>
      <c r="C7" s="16">
        <f>B7/$B$11</f>
        <v>0.40706277664695811</v>
      </c>
      <c r="D7" s="86">
        <v>70</v>
      </c>
      <c r="E7" s="45">
        <f>D7/$D$11</f>
        <v>0.40229885057471265</v>
      </c>
      <c r="F7" s="87">
        <v>793</v>
      </c>
      <c r="G7" s="45">
        <f>F7/$F$11</f>
        <v>0.4338074398249453</v>
      </c>
      <c r="H7" s="87">
        <v>1248</v>
      </c>
      <c r="I7" s="45">
        <f>H7/$H$11</f>
        <v>0.32123552123552124</v>
      </c>
      <c r="J7" s="87">
        <v>2949</v>
      </c>
      <c r="K7" s="45">
        <f>J7/$J$11</f>
        <v>0.36353550295857989</v>
      </c>
      <c r="L7" s="87">
        <v>2993</v>
      </c>
      <c r="M7" s="45">
        <f>L7/$L$11</f>
        <v>0.4523197823787215</v>
      </c>
      <c r="N7" s="87">
        <v>3310</v>
      </c>
      <c r="O7" s="45">
        <f>N7/$N$11</f>
        <v>0.4590846047156727</v>
      </c>
      <c r="P7" s="87">
        <v>1171</v>
      </c>
      <c r="Q7" s="45">
        <f>P7/$P$11</f>
        <v>0.3991138377641445</v>
      </c>
      <c r="R7" s="87">
        <v>65</v>
      </c>
      <c r="S7" s="45">
        <f>R7/$R$11</f>
        <v>0.34031413612565448</v>
      </c>
    </row>
    <row r="8" spans="1:19" ht="15.75" thickBot="1" x14ac:dyDescent="0.3">
      <c r="A8" s="42" t="s">
        <v>14</v>
      </c>
      <c r="B8" s="40">
        <f>D8+F8+H8+J8+L8+N8+P8+R8</f>
        <v>2938</v>
      </c>
      <c r="C8" s="16">
        <f>B8/$B$11</f>
        <v>9.4924235081257469E-2</v>
      </c>
      <c r="D8" s="86">
        <v>33</v>
      </c>
      <c r="E8" s="16">
        <f>D8/$D$11</f>
        <v>0.18965517241379309</v>
      </c>
      <c r="F8" s="87">
        <v>294</v>
      </c>
      <c r="G8" s="16">
        <f>F8/$F$11</f>
        <v>0.16083150984682712</v>
      </c>
      <c r="H8" s="87">
        <v>388</v>
      </c>
      <c r="I8" s="16">
        <f>H8/$H$11</f>
        <v>9.9871299871299876E-2</v>
      </c>
      <c r="J8" s="87">
        <v>771</v>
      </c>
      <c r="K8" s="16">
        <f>J8/$J$11</f>
        <v>9.5044378698224852E-2</v>
      </c>
      <c r="L8" s="87">
        <v>594</v>
      </c>
      <c r="M8" s="16">
        <f>L8/$L$11</f>
        <v>8.9768777391567176E-2</v>
      </c>
      <c r="N8" s="87">
        <v>616</v>
      </c>
      <c r="O8" s="16">
        <f>N8/$N$11</f>
        <v>8.5436893203883493E-2</v>
      </c>
      <c r="P8" s="87">
        <v>237</v>
      </c>
      <c r="Q8" s="16">
        <f>P8/$P$11</f>
        <v>8.0777096114519428E-2</v>
      </c>
      <c r="R8" s="87">
        <v>5</v>
      </c>
      <c r="S8" s="75">
        <f>R8/$R$11</f>
        <v>2.6178010471204188E-2</v>
      </c>
    </row>
    <row r="9" spans="1:19" ht="13.5" thickBot="1" x14ac:dyDescent="0.25">
      <c r="A9" s="89" t="s">
        <v>21</v>
      </c>
      <c r="B9" s="40">
        <f>D9+F9+H9+J9+L9+N9+P9+R9</f>
        <v>7452</v>
      </c>
      <c r="C9" s="17">
        <f>B9/$B$11</f>
        <v>0.24076766501890084</v>
      </c>
      <c r="D9" s="86">
        <v>0</v>
      </c>
      <c r="E9" s="52">
        <f>D9/$D$11</f>
        <v>0</v>
      </c>
      <c r="F9" s="88">
        <f>110+241</f>
        <v>351</v>
      </c>
      <c r="G9" s="52">
        <f>F9/$F$11</f>
        <v>0.19201312910284463</v>
      </c>
      <c r="H9" s="88">
        <f>379+1266</f>
        <v>1645</v>
      </c>
      <c r="I9" s="52">
        <f>H9/$H$11</f>
        <v>0.42342342342342343</v>
      </c>
      <c r="J9" s="88">
        <f>692+2038</f>
        <v>2730</v>
      </c>
      <c r="K9" s="52">
        <f>J9/$J$11</f>
        <v>0.33653846153846156</v>
      </c>
      <c r="L9" s="88">
        <f>520+663</f>
        <v>1183</v>
      </c>
      <c r="M9" s="52">
        <f>L9/$L$11</f>
        <v>0.1787819253438114</v>
      </c>
      <c r="N9" s="88">
        <f>465+594</f>
        <v>1059</v>
      </c>
      <c r="O9" s="52">
        <f>N9/$N$11</f>
        <v>0.14687933425797503</v>
      </c>
      <c r="P9" s="88">
        <f>179+270</f>
        <v>449</v>
      </c>
      <c r="Q9" s="52">
        <f>P9/$P$11</f>
        <v>0.15303340149965916</v>
      </c>
      <c r="R9" s="88">
        <v>35</v>
      </c>
      <c r="S9" s="52">
        <f>R9/$R$11</f>
        <v>0.18324607329842932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30951</v>
      </c>
      <c r="C11" s="45">
        <f>B11/$B$11</f>
        <v>1</v>
      </c>
      <c r="D11" s="49">
        <f>SUM(D5:D9)</f>
        <v>174</v>
      </c>
      <c r="E11" s="45">
        <f>D11/$D$11</f>
        <v>1</v>
      </c>
      <c r="F11" s="50">
        <f>SUM(F5:F9)</f>
        <v>1828</v>
      </c>
      <c r="G11" s="45">
        <f>F11/$F$11</f>
        <v>1</v>
      </c>
      <c r="H11" s="50">
        <f>SUM(H5:H9)</f>
        <v>3885</v>
      </c>
      <c r="I11" s="45">
        <f>H11/$H$11</f>
        <v>1</v>
      </c>
      <c r="J11" s="47">
        <f>SUM(J5:J9)</f>
        <v>8112</v>
      </c>
      <c r="K11" s="45">
        <f>J11/$J$11</f>
        <v>1</v>
      </c>
      <c r="L11" s="47">
        <f>SUM(L5:L9)</f>
        <v>6617</v>
      </c>
      <c r="M11" s="45">
        <f>L11/$L$11</f>
        <v>1</v>
      </c>
      <c r="N11" s="47">
        <f>SUM(N5:N9)</f>
        <v>7210</v>
      </c>
      <c r="O11" s="45">
        <f>N11/$N$11</f>
        <v>1</v>
      </c>
      <c r="P11" s="47">
        <f>SUM(P5:P9)</f>
        <v>2934</v>
      </c>
      <c r="Q11" s="45">
        <f>P11/$P$11</f>
        <v>1</v>
      </c>
      <c r="R11" s="47">
        <f>SUM(R5:R9)</f>
        <v>191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5.6217892798294073E-3</v>
      </c>
      <c r="E12" s="52"/>
      <c r="F12" s="28">
        <f>F11/$B$11</f>
        <v>5.9061096572000905E-2</v>
      </c>
      <c r="G12" s="52"/>
      <c r="H12" s="28">
        <f>H11/$B$11</f>
        <v>0.12552098478239798</v>
      </c>
      <c r="I12" s="52"/>
      <c r="J12" s="28">
        <f>J11/$B$11</f>
        <v>0.26209169332170207</v>
      </c>
      <c r="K12" s="52"/>
      <c r="L12" s="28">
        <f>L11/$B$11</f>
        <v>0.2137895383024781</v>
      </c>
      <c r="M12" s="52"/>
      <c r="N12" s="28">
        <f>N11/$B$11</f>
        <v>0.23294885464120707</v>
      </c>
      <c r="O12" s="52"/>
      <c r="P12" s="28">
        <f>P11/$B$11</f>
        <v>9.4794998546088985E-2</v>
      </c>
      <c r="Q12" s="52"/>
      <c r="R12" s="28">
        <f>R11/$B$11</f>
        <v>6.1710445542954989E-3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160</v>
      </c>
      <c r="C17" s="60">
        <f>B17/$B$23</f>
        <v>6.1036087586785687E-3</v>
      </c>
      <c r="D17" s="86">
        <v>2</v>
      </c>
      <c r="E17" s="60">
        <v>1.4084507042253521E-2</v>
      </c>
      <c r="F17" s="87">
        <v>16</v>
      </c>
      <c r="G17" s="60">
        <v>1.1339475549255847E-2</v>
      </c>
      <c r="H17" s="87">
        <v>17</v>
      </c>
      <c r="I17" s="60">
        <v>5.2195271722443965E-3</v>
      </c>
      <c r="J17" s="87">
        <v>40</v>
      </c>
      <c r="K17" s="60">
        <v>5.9180352123095132E-3</v>
      </c>
      <c r="L17" s="87">
        <v>38</v>
      </c>
      <c r="M17" s="60">
        <v>6.4691862444671436E-3</v>
      </c>
      <c r="N17" s="87">
        <v>32</v>
      </c>
      <c r="O17" s="60">
        <v>5.2962595167163192E-3</v>
      </c>
      <c r="P17" s="87">
        <v>14</v>
      </c>
      <c r="Q17" s="60">
        <v>5.4602184087363496E-3</v>
      </c>
      <c r="R17" s="87">
        <v>1</v>
      </c>
      <c r="S17" s="60">
        <v>6.0606060606060606E-3</v>
      </c>
    </row>
    <row r="18" spans="1:19" ht="15" x14ac:dyDescent="0.25">
      <c r="A18" s="61" t="s">
        <v>12</v>
      </c>
      <c r="B18" s="62">
        <f>D18+F18+H18+J18+L18+N18+P18+R18</f>
        <v>7106</v>
      </c>
      <c r="C18" s="63">
        <f>B18/$B$23</f>
        <v>0.27107652399481191</v>
      </c>
      <c r="D18" s="86">
        <v>63</v>
      </c>
      <c r="E18" s="63">
        <v>0.44366197183098594</v>
      </c>
      <c r="F18" s="87">
        <v>348</v>
      </c>
      <c r="G18" s="63">
        <v>0.24663359319631467</v>
      </c>
      <c r="H18" s="87">
        <v>583</v>
      </c>
      <c r="I18" s="63">
        <v>0.17899907890696962</v>
      </c>
      <c r="J18" s="87">
        <v>1541</v>
      </c>
      <c r="K18" s="63">
        <v>0.22799230655422401</v>
      </c>
      <c r="L18" s="87">
        <v>1686</v>
      </c>
      <c r="M18" s="63">
        <v>0.28702757916241062</v>
      </c>
      <c r="N18" s="87">
        <v>1932</v>
      </c>
      <c r="O18" s="63">
        <v>0.31976166832174774</v>
      </c>
      <c r="P18" s="87">
        <v>879</v>
      </c>
      <c r="Q18" s="63">
        <v>0.34282371294851793</v>
      </c>
      <c r="R18" s="87">
        <v>74</v>
      </c>
      <c r="S18" s="63">
        <v>0.44848484848484849</v>
      </c>
    </row>
    <row r="19" spans="1:19" ht="15" x14ac:dyDescent="0.25">
      <c r="A19" s="29" t="s">
        <v>13</v>
      </c>
      <c r="B19" s="62">
        <f>D19+F19+H19+J19+L19+N19+P19+R19</f>
        <v>10299</v>
      </c>
      <c r="C19" s="63">
        <f>B19/$B$23</f>
        <v>0.39288166628519111</v>
      </c>
      <c r="D19" s="86">
        <v>46</v>
      </c>
      <c r="E19" s="63">
        <v>0.323943661971831</v>
      </c>
      <c r="F19" s="87">
        <v>585</v>
      </c>
      <c r="G19" s="63">
        <v>0.41459957476966691</v>
      </c>
      <c r="H19" s="87">
        <v>1047</v>
      </c>
      <c r="I19" s="63">
        <v>0.32146146760822841</v>
      </c>
      <c r="J19" s="87">
        <v>2316</v>
      </c>
      <c r="K19" s="63">
        <v>0.34265423879272083</v>
      </c>
      <c r="L19" s="87">
        <v>2502</v>
      </c>
      <c r="M19" s="63">
        <v>0.42594484167517876</v>
      </c>
      <c r="N19" s="87">
        <v>2716</v>
      </c>
      <c r="O19" s="63">
        <v>0.44952002648129757</v>
      </c>
      <c r="P19" s="87">
        <v>1032</v>
      </c>
      <c r="Q19" s="63">
        <v>0.40249609984399376</v>
      </c>
      <c r="R19" s="87">
        <v>55</v>
      </c>
      <c r="S19" s="63">
        <v>0.33333333333333331</v>
      </c>
    </row>
    <row r="20" spans="1:19" ht="15" x14ac:dyDescent="0.25">
      <c r="A20" s="61" t="s">
        <v>14</v>
      </c>
      <c r="B20" s="62">
        <f>D20+F20+H20+J20+L20+N20+P20+R20</f>
        <v>2346</v>
      </c>
      <c r="C20" s="63">
        <f>B20/$B$23</f>
        <v>8.9494163424124515E-2</v>
      </c>
      <c r="D20" s="86">
        <v>31</v>
      </c>
      <c r="E20" s="63">
        <v>0.21830985915492956</v>
      </c>
      <c r="F20" s="87">
        <v>249</v>
      </c>
      <c r="G20" s="63">
        <v>0.17647058823529413</v>
      </c>
      <c r="H20" s="87">
        <v>343</v>
      </c>
      <c r="I20" s="63">
        <v>0.10531163647528401</v>
      </c>
      <c r="J20" s="87">
        <v>569</v>
      </c>
      <c r="K20" s="63">
        <v>8.4184050895102822E-2</v>
      </c>
      <c r="L20" s="87">
        <v>465</v>
      </c>
      <c r="M20" s="63">
        <v>7.9162410623084781E-2</v>
      </c>
      <c r="N20" s="87">
        <v>470</v>
      </c>
      <c r="O20" s="63">
        <v>7.7788811651770942E-2</v>
      </c>
      <c r="P20" s="87">
        <v>209</v>
      </c>
      <c r="Q20" s="63">
        <v>8.1513260530421211E-2</v>
      </c>
      <c r="R20" s="87">
        <v>10</v>
      </c>
      <c r="S20" s="63">
        <v>6.0606060606060608E-2</v>
      </c>
    </row>
    <row r="21" spans="1:19" ht="13.5" thickBot="1" x14ac:dyDescent="0.25">
      <c r="A21" s="89" t="s">
        <v>21</v>
      </c>
      <c r="B21" s="64">
        <f>D21+F21+H21+J21+L21+N21+P21+R21</f>
        <v>6303</v>
      </c>
      <c r="C21" s="65">
        <f>B21/$B$23</f>
        <v>0.24044403753719387</v>
      </c>
      <c r="D21" s="86">
        <v>0</v>
      </c>
      <c r="E21" s="65">
        <v>0</v>
      </c>
      <c r="F21" s="88">
        <v>213</v>
      </c>
      <c r="G21" s="65">
        <v>0.15095676824946846</v>
      </c>
      <c r="H21" s="88">
        <v>1267</v>
      </c>
      <c r="I21" s="65">
        <v>0.38900828983727359</v>
      </c>
      <c r="J21" s="88">
        <v>2293</v>
      </c>
      <c r="K21" s="65">
        <v>0.33925136854564286</v>
      </c>
      <c r="L21" s="88">
        <v>1183</v>
      </c>
      <c r="M21" s="65">
        <v>0.20139598229485869</v>
      </c>
      <c r="N21" s="88">
        <v>892</v>
      </c>
      <c r="O21" s="65">
        <v>0.1476332340284674</v>
      </c>
      <c r="P21" s="88">
        <v>430</v>
      </c>
      <c r="Q21" s="65">
        <v>0.16770670826833073</v>
      </c>
      <c r="R21" s="88">
        <v>25</v>
      </c>
      <c r="S21" s="65">
        <v>0.15151515151515152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26214</v>
      </c>
      <c r="C23" s="67">
        <f>B23/$B$23</f>
        <v>1</v>
      </c>
      <c r="D23" s="71">
        <f>SUM(D17:D21)</f>
        <v>142</v>
      </c>
      <c r="E23" s="67">
        <f>D23/$D$23</f>
        <v>1</v>
      </c>
      <c r="F23" s="71">
        <f>SUM(F17:F21)</f>
        <v>1411</v>
      </c>
      <c r="G23" s="67">
        <f t="shared" ref="G23" si="0">F23/$F$23</f>
        <v>1</v>
      </c>
      <c r="H23" s="50">
        <f>SUM(H17:H21)</f>
        <v>3257</v>
      </c>
      <c r="I23" s="67">
        <f t="shared" ref="I23" si="1">H23/$H$23</f>
        <v>1</v>
      </c>
      <c r="J23" s="71">
        <f>SUM(J17:J21)</f>
        <v>6759</v>
      </c>
      <c r="K23" s="67">
        <f t="shared" ref="K23" si="2">J23/$J$23</f>
        <v>1</v>
      </c>
      <c r="L23" s="50">
        <f>SUM(L17:L21)</f>
        <v>5874</v>
      </c>
      <c r="M23" s="67">
        <f t="shared" ref="M23" si="3">L23/$L$23</f>
        <v>1</v>
      </c>
      <c r="N23" s="50">
        <f>SUM(N17:N21)</f>
        <v>6042</v>
      </c>
      <c r="O23" s="67">
        <f t="shared" ref="O23" si="4">N23/$N$23</f>
        <v>1</v>
      </c>
      <c r="P23" s="50">
        <f>SUM(P17:P21)</f>
        <v>2564</v>
      </c>
      <c r="Q23" s="67">
        <f t="shared" ref="Q23" si="5">P23/$P$23</f>
        <v>1</v>
      </c>
      <c r="R23" s="50">
        <f>SUM(R17:R21)</f>
        <v>165</v>
      </c>
      <c r="S23" s="67">
        <f t="shared" ref="S23" si="6">R23/$R$23</f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5.4169527733272296E-3</v>
      </c>
      <c r="E24" s="32"/>
      <c r="F24" s="32">
        <f>F23/$B$23</f>
        <v>5.3826199740596631E-2</v>
      </c>
      <c r="G24" s="32"/>
      <c r="H24" s="32">
        <f>H23/$B$23</f>
        <v>0.12424658579385062</v>
      </c>
      <c r="I24" s="32"/>
      <c r="J24" s="32">
        <f>J23/$B$23</f>
        <v>0.25783932249942781</v>
      </c>
      <c r="K24" s="32"/>
      <c r="L24" s="33">
        <f>L23/$B$23</f>
        <v>0.22407873655298696</v>
      </c>
      <c r="M24" s="32"/>
      <c r="N24" s="33">
        <f>N23/$B$23</f>
        <v>0.23048752574959946</v>
      </c>
      <c r="O24" s="32"/>
      <c r="P24" s="33">
        <f>P23/$B$23</f>
        <v>9.7810330357824063E-2</v>
      </c>
      <c r="Q24" s="32"/>
      <c r="R24" s="33">
        <f>R23/$B$23</f>
        <v>6.2943465323872742E-3</v>
      </c>
      <c r="S24" s="32"/>
    </row>
    <row r="25" spans="1:19" x14ac:dyDescent="0.2">
      <c r="A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1" spans="1:19" x14ac:dyDescent="0.2">
      <c r="B31" s="3"/>
      <c r="C31" s="3"/>
      <c r="D31" s="3"/>
      <c r="E31" s="3"/>
      <c r="F31" s="3"/>
      <c r="G31" s="3"/>
      <c r="H31" s="3"/>
      <c r="I31" s="3"/>
    </row>
    <row r="32" spans="1:19" x14ac:dyDescent="0.2">
      <c r="B32" s="4"/>
      <c r="C32" s="4"/>
      <c r="D32" s="4"/>
      <c r="E32" s="3"/>
      <c r="F32" s="4"/>
      <c r="G32" s="3"/>
      <c r="H32" s="4"/>
      <c r="I32" s="3"/>
    </row>
  </sheetData>
  <mergeCells count="18">
    <mergeCell ref="B15:C15"/>
    <mergeCell ref="D15:E15"/>
    <mergeCell ref="B3:C3"/>
    <mergeCell ref="D3:E3"/>
    <mergeCell ref="F3:G3"/>
    <mergeCell ref="H3:I3"/>
    <mergeCell ref="F15:G15"/>
    <mergeCell ref="H15:I15"/>
    <mergeCell ref="J15:K15"/>
    <mergeCell ref="P15:Q15"/>
    <mergeCell ref="L15:M15"/>
    <mergeCell ref="J3:K3"/>
    <mergeCell ref="L3:M3"/>
    <mergeCell ref="R15:S15"/>
    <mergeCell ref="N3:O3"/>
    <mergeCell ref="P3:Q3"/>
    <mergeCell ref="R3:S3"/>
    <mergeCell ref="N15:O15"/>
  </mergeCells>
  <phoneticPr fontId="6" type="noConversion"/>
  <pageMargins left="0.75" right="0.75" top="1" bottom="1" header="0.5" footer="0.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A27" sqref="A27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6.28515625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23</v>
      </c>
    </row>
    <row r="2" spans="1:19" ht="13.5" thickBot="1" x14ac:dyDescent="0.25">
      <c r="A2" s="81" t="s">
        <v>20</v>
      </c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110</v>
      </c>
      <c r="C5" s="15">
        <f>B5/$B$11</f>
        <v>3.6973547107660245E-3</v>
      </c>
      <c r="D5" s="86">
        <v>2</v>
      </c>
      <c r="E5" s="15">
        <f>D5/$D$11</f>
        <v>1.2903225806451613E-2</v>
      </c>
      <c r="F5" s="87">
        <v>13</v>
      </c>
      <c r="G5" s="15">
        <f>F5/$F$11</f>
        <v>7.4158585282373072E-3</v>
      </c>
      <c r="H5" s="87">
        <v>12</v>
      </c>
      <c r="I5" s="15">
        <f>H5/$H$11</f>
        <v>3.1645569620253164E-3</v>
      </c>
      <c r="J5" s="87">
        <v>21</v>
      </c>
      <c r="K5" s="15">
        <f>J5/$J$11</f>
        <v>2.7219701879455608E-3</v>
      </c>
      <c r="L5" s="87">
        <v>29</v>
      </c>
      <c r="M5" s="15">
        <f>L5/$L$11</f>
        <v>4.5590315988052197E-3</v>
      </c>
      <c r="N5" s="87">
        <v>26</v>
      </c>
      <c r="O5" s="15">
        <f>N5/$N$11</f>
        <v>3.7659327925840093E-3</v>
      </c>
      <c r="P5" s="87">
        <v>7</v>
      </c>
      <c r="Q5" s="15">
        <f>P5/$P$11</f>
        <v>2.428026361429067E-3</v>
      </c>
      <c r="R5" s="87">
        <v>0</v>
      </c>
      <c r="S5" s="15">
        <f>R5/$R$11</f>
        <v>0</v>
      </c>
    </row>
    <row r="6" spans="1:19" ht="15.75" thickBot="1" x14ac:dyDescent="0.3">
      <c r="A6" s="42" t="s">
        <v>12</v>
      </c>
      <c r="B6" s="40">
        <f>D6+F6+H6+J6+L6+N6+P6+R6</f>
        <v>7436</v>
      </c>
      <c r="C6" s="16">
        <f>B6/$B$11</f>
        <v>0.24994117844778327</v>
      </c>
      <c r="D6" s="86">
        <v>60</v>
      </c>
      <c r="E6" s="16">
        <f>D6/$D$11</f>
        <v>0.38709677419354838</v>
      </c>
      <c r="F6" s="87">
        <v>344</v>
      </c>
      <c r="G6" s="16">
        <f>F6/$F$11</f>
        <v>0.19623502567027953</v>
      </c>
      <c r="H6" s="87">
        <v>564</v>
      </c>
      <c r="I6" s="16">
        <f>H6/$H$11</f>
        <v>0.14873417721518986</v>
      </c>
      <c r="J6" s="87">
        <v>1566</v>
      </c>
      <c r="K6" s="16">
        <f>J6/$J$11</f>
        <v>0.20298120544394038</v>
      </c>
      <c r="L6" s="87">
        <v>1719</v>
      </c>
      <c r="M6" s="16">
        <f>L6/$L$11</f>
        <v>0.27024052821883354</v>
      </c>
      <c r="N6" s="87">
        <v>2072</v>
      </c>
      <c r="O6" s="16">
        <f>N6/$N$11</f>
        <v>0.30011587485515645</v>
      </c>
      <c r="P6" s="87">
        <v>1028</v>
      </c>
      <c r="Q6" s="16">
        <f>P6/$P$11</f>
        <v>0.35657301422129728</v>
      </c>
      <c r="R6" s="87">
        <v>83</v>
      </c>
      <c r="S6" s="16">
        <f>R6/$R$11</f>
        <v>0.44148936170212766</v>
      </c>
    </row>
    <row r="7" spans="1:19" ht="15.75" thickBot="1" x14ac:dyDescent="0.3">
      <c r="A7" s="43" t="s">
        <v>13</v>
      </c>
      <c r="B7" s="40">
        <f>D7+F7+H7+J7+L7+N7+P7+R7</f>
        <v>12211</v>
      </c>
      <c r="C7" s="16">
        <f>B7/$B$11</f>
        <v>0.41043998521058117</v>
      </c>
      <c r="D7" s="86">
        <v>65</v>
      </c>
      <c r="E7" s="16">
        <f>D7/$D$11</f>
        <v>0.41935483870967744</v>
      </c>
      <c r="F7" s="87">
        <v>788</v>
      </c>
      <c r="G7" s="16">
        <f>F7/$F$11</f>
        <v>0.4495151169423845</v>
      </c>
      <c r="H7" s="87">
        <v>1226</v>
      </c>
      <c r="I7" s="16">
        <f>H7/$H$11</f>
        <v>0.32331223628691985</v>
      </c>
      <c r="J7" s="87">
        <v>2801</v>
      </c>
      <c r="K7" s="16">
        <f>J7/$J$11</f>
        <v>0.36305897602073883</v>
      </c>
      <c r="L7" s="87">
        <v>2909</v>
      </c>
      <c r="M7" s="16">
        <f>L7/$L$11</f>
        <v>0.45731803175601321</v>
      </c>
      <c r="N7" s="87">
        <v>3197</v>
      </c>
      <c r="O7" s="16">
        <f>N7/$N$11</f>
        <v>0.46306488991888761</v>
      </c>
      <c r="P7" s="87">
        <v>1159</v>
      </c>
      <c r="Q7" s="16">
        <f>P7/$P$11</f>
        <v>0.40201179327089837</v>
      </c>
      <c r="R7" s="87">
        <v>66</v>
      </c>
      <c r="S7" s="16">
        <f>R7/$R$11</f>
        <v>0.35106382978723405</v>
      </c>
    </row>
    <row r="8" spans="1:19" ht="15.75" thickBot="1" x14ac:dyDescent="0.3">
      <c r="A8" s="42" t="s">
        <v>14</v>
      </c>
      <c r="B8" s="40">
        <f>D8+F8+H8+J8+L8+N8+P8+R8</f>
        <v>2691</v>
      </c>
      <c r="C8" s="16">
        <f>B8/$B$11</f>
        <v>9.0450741151557934E-2</v>
      </c>
      <c r="D8" s="86">
        <v>28</v>
      </c>
      <c r="E8" s="16">
        <f>D8/$D$11</f>
        <v>0.18064516129032257</v>
      </c>
      <c r="F8" s="87">
        <v>286</v>
      </c>
      <c r="G8" s="16">
        <f>F8/$F$11</f>
        <v>0.16314888762122076</v>
      </c>
      <c r="H8" s="87">
        <v>370</v>
      </c>
      <c r="I8" s="16">
        <f>H8/$H$11</f>
        <v>9.7573839662447259E-2</v>
      </c>
      <c r="J8" s="87">
        <v>682</v>
      </c>
      <c r="K8" s="16">
        <f>J8/$J$11</f>
        <v>8.8399222294232013E-2</v>
      </c>
      <c r="L8" s="87">
        <v>543</v>
      </c>
      <c r="M8" s="16">
        <f>L8/$L$11</f>
        <v>8.5363936487973593E-2</v>
      </c>
      <c r="N8" s="87">
        <v>552</v>
      </c>
      <c r="O8" s="16">
        <f>N8/$N$11</f>
        <v>7.9953650057937434E-2</v>
      </c>
      <c r="P8" s="87">
        <v>224</v>
      </c>
      <c r="Q8" s="16">
        <f>P8/$P$11</f>
        <v>7.7696843565730145E-2</v>
      </c>
      <c r="R8" s="87">
        <v>6</v>
      </c>
      <c r="S8" s="16">
        <f>R8/$R$11</f>
        <v>3.1914893617021274E-2</v>
      </c>
    </row>
    <row r="9" spans="1:19" ht="13.5" thickBot="1" x14ac:dyDescent="0.25">
      <c r="A9" s="89" t="s">
        <v>21</v>
      </c>
      <c r="B9" s="40">
        <f>D9+F9+H9+J9+L9+N9+P9+R9</f>
        <v>7303</v>
      </c>
      <c r="C9" s="17">
        <f>B9/$B$11</f>
        <v>0.24547074047931161</v>
      </c>
      <c r="D9" s="86">
        <v>0</v>
      </c>
      <c r="E9" s="17">
        <f>D9/$D$11</f>
        <v>0</v>
      </c>
      <c r="F9" s="88">
        <v>322</v>
      </c>
      <c r="G9" s="17">
        <f>F9/$F$11</f>
        <v>0.18368511123787792</v>
      </c>
      <c r="H9" s="88">
        <f>383+1237</f>
        <v>1620</v>
      </c>
      <c r="I9" s="17">
        <f>H9/$H$11</f>
        <v>0.42721518987341772</v>
      </c>
      <c r="J9" s="88">
        <f>685+1960</f>
        <v>2645</v>
      </c>
      <c r="K9" s="17">
        <f>J9/$J$11</f>
        <v>0.34283862605314325</v>
      </c>
      <c r="L9" s="88">
        <f>529+632</f>
        <v>1161</v>
      </c>
      <c r="M9" s="17">
        <f>L9/$L$11</f>
        <v>0.18251847193837448</v>
      </c>
      <c r="N9" s="88">
        <f>461+596</f>
        <v>1057</v>
      </c>
      <c r="O9" s="17">
        <f>N9/$N$11</f>
        <v>0.15309965237543452</v>
      </c>
      <c r="P9" s="88">
        <f>179+286</f>
        <v>465</v>
      </c>
      <c r="Q9" s="17">
        <f>P9/$P$11</f>
        <v>0.16129032258064516</v>
      </c>
      <c r="R9" s="88">
        <v>33</v>
      </c>
      <c r="S9" s="17">
        <f>R9/$R$11</f>
        <v>0.17553191489361702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29751</v>
      </c>
      <c r="C11" s="45">
        <f>B11/$B$11</f>
        <v>1</v>
      </c>
      <c r="D11" s="49">
        <f>SUM(D5:D9)</f>
        <v>155</v>
      </c>
      <c r="E11" s="45">
        <f>D11/$D$11</f>
        <v>1</v>
      </c>
      <c r="F11" s="50">
        <f>SUM(F5:F9)</f>
        <v>1753</v>
      </c>
      <c r="G11" s="45">
        <f>F11/$F$11</f>
        <v>1</v>
      </c>
      <c r="H11" s="50">
        <f>SUM(H5:H9)</f>
        <v>3792</v>
      </c>
      <c r="I11" s="45">
        <f>H11/$H$11</f>
        <v>1</v>
      </c>
      <c r="J11" s="47">
        <f>SUM(J5:J9)</f>
        <v>7715</v>
      </c>
      <c r="K11" s="45">
        <f>J11/$J$11</f>
        <v>1</v>
      </c>
      <c r="L11" s="47">
        <f>SUM(L5:L9)</f>
        <v>6361</v>
      </c>
      <c r="M11" s="45">
        <f>L11/$L$11</f>
        <v>1</v>
      </c>
      <c r="N11" s="47">
        <f>SUM(N5:N9)</f>
        <v>6904</v>
      </c>
      <c r="O11" s="45">
        <f>N11/$N$11</f>
        <v>1</v>
      </c>
      <c r="P11" s="47">
        <f>SUM(P5:P9)</f>
        <v>2883</v>
      </c>
      <c r="Q11" s="45">
        <f>P11/$P$11</f>
        <v>1</v>
      </c>
      <c r="R11" s="47">
        <f>SUM(R5:R9)</f>
        <v>188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5.2099089106248534E-3</v>
      </c>
      <c r="E12" s="52"/>
      <c r="F12" s="28">
        <f>F11/$B$11</f>
        <v>5.8922389163389467E-2</v>
      </c>
      <c r="G12" s="52"/>
      <c r="H12" s="28">
        <f>H11/$B$11</f>
        <v>0.12745790057477061</v>
      </c>
      <c r="I12" s="52"/>
      <c r="J12" s="28">
        <f>J11/$B$11</f>
        <v>0.25931901448690803</v>
      </c>
      <c r="K12" s="52"/>
      <c r="L12" s="28">
        <f>L11/$B$11</f>
        <v>0.21380793922893349</v>
      </c>
      <c r="M12" s="52"/>
      <c r="N12" s="28">
        <f>N11/$B$11</f>
        <v>0.23205942657389667</v>
      </c>
      <c r="O12" s="52"/>
      <c r="P12" s="28">
        <f>P11/$B$11</f>
        <v>9.6904305737622265E-2</v>
      </c>
      <c r="Q12" s="52"/>
      <c r="R12" s="28">
        <f>R11/$B$11</f>
        <v>6.3191153238546603E-3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ht="15" x14ac:dyDescent="0.25">
      <c r="A17" s="59" t="s">
        <v>11</v>
      </c>
      <c r="B17" s="40">
        <f t="shared" ref="B17:B21" si="0">D17+F17+H17+J17+L17+N17+P17+R17</f>
        <v>159</v>
      </c>
      <c r="C17" s="60">
        <f>B17/$B$23</f>
        <v>6.2056045585824685E-3</v>
      </c>
      <c r="D17" s="86">
        <v>4</v>
      </c>
      <c r="E17" s="60">
        <v>2.6845637583892617E-2</v>
      </c>
      <c r="F17" s="87">
        <v>15</v>
      </c>
      <c r="G17" s="60">
        <v>1.1013215859030838E-2</v>
      </c>
      <c r="H17" s="87">
        <v>15</v>
      </c>
      <c r="I17" s="60">
        <v>4.700720777185835E-3</v>
      </c>
      <c r="J17" s="87">
        <v>43</v>
      </c>
      <c r="K17" s="60">
        <v>6.4603365384615381E-3</v>
      </c>
      <c r="L17" s="87">
        <v>33</v>
      </c>
      <c r="M17" s="60">
        <v>5.7894736842105266E-3</v>
      </c>
      <c r="N17" s="87">
        <v>33</v>
      </c>
      <c r="O17" s="60">
        <v>5.6497175141242938E-3</v>
      </c>
      <c r="P17" s="87">
        <v>15</v>
      </c>
      <c r="Q17" s="60">
        <v>5.89622641509434E-3</v>
      </c>
      <c r="R17" s="87">
        <v>1</v>
      </c>
      <c r="S17" s="60">
        <v>5.5865921787709499E-3</v>
      </c>
    </row>
    <row r="18" spans="1:19" ht="15" x14ac:dyDescent="0.25">
      <c r="A18" s="61" t="s">
        <v>12</v>
      </c>
      <c r="B18" s="62">
        <f t="shared" si="0"/>
        <v>6812</v>
      </c>
      <c r="C18" s="63">
        <f>B18/$B$23</f>
        <v>0.26586527203184762</v>
      </c>
      <c r="D18" s="86">
        <v>62</v>
      </c>
      <c r="E18" s="63">
        <v>0.41610738255033558</v>
      </c>
      <c r="F18" s="87">
        <v>318</v>
      </c>
      <c r="G18" s="63">
        <v>0.23348017621145375</v>
      </c>
      <c r="H18" s="87">
        <v>544</v>
      </c>
      <c r="I18" s="63">
        <v>0.17047947351927295</v>
      </c>
      <c r="J18" s="87">
        <v>1481</v>
      </c>
      <c r="K18" s="63">
        <v>0.22250600961538461</v>
      </c>
      <c r="L18" s="87">
        <v>1607</v>
      </c>
      <c r="M18" s="63">
        <v>0.28192982456140353</v>
      </c>
      <c r="N18" s="87">
        <v>1862</v>
      </c>
      <c r="O18" s="63">
        <v>0.31878103064543745</v>
      </c>
      <c r="P18" s="87">
        <v>865</v>
      </c>
      <c r="Q18" s="63">
        <v>0.34001572327044027</v>
      </c>
      <c r="R18" s="87">
        <v>73</v>
      </c>
      <c r="S18" s="63">
        <v>0.40782122905027934</v>
      </c>
    </row>
    <row r="19" spans="1:19" ht="15" x14ac:dyDescent="0.25">
      <c r="A19" s="29" t="s">
        <v>13</v>
      </c>
      <c r="B19" s="62">
        <f t="shared" si="0"/>
        <v>10092</v>
      </c>
      <c r="C19" s="63">
        <f>B19/$B$23</f>
        <v>0.39388025915229102</v>
      </c>
      <c r="D19" s="86">
        <v>54</v>
      </c>
      <c r="E19" s="63">
        <v>0.36241610738255031</v>
      </c>
      <c r="F19" s="87">
        <v>564</v>
      </c>
      <c r="G19" s="63">
        <v>0.41409691629955947</v>
      </c>
      <c r="H19" s="87">
        <v>1049</v>
      </c>
      <c r="I19" s="63">
        <v>0.32873707301786276</v>
      </c>
      <c r="J19" s="87">
        <v>2295</v>
      </c>
      <c r="K19" s="63">
        <v>0.34480168269230771</v>
      </c>
      <c r="L19" s="87">
        <v>2427</v>
      </c>
      <c r="M19" s="63">
        <v>0.42578947368421055</v>
      </c>
      <c r="N19" s="87">
        <v>2608</v>
      </c>
      <c r="O19" s="63">
        <v>0.44649888717685327</v>
      </c>
      <c r="P19" s="87">
        <v>1029</v>
      </c>
      <c r="Q19" s="63">
        <v>0.40448113207547171</v>
      </c>
      <c r="R19" s="87">
        <v>66</v>
      </c>
      <c r="S19" s="63">
        <v>0.36871508379888268</v>
      </c>
    </row>
    <row r="20" spans="1:19" ht="15" x14ac:dyDescent="0.25">
      <c r="A20" s="61" t="s">
        <v>14</v>
      </c>
      <c r="B20" s="62">
        <f t="shared" si="0"/>
        <v>2299</v>
      </c>
      <c r="C20" s="63">
        <f>B20/$B$23</f>
        <v>8.9727577862774174E-2</v>
      </c>
      <c r="D20" s="86">
        <v>26</v>
      </c>
      <c r="E20" s="63">
        <v>0.17449664429530201</v>
      </c>
      <c r="F20" s="87">
        <v>256</v>
      </c>
      <c r="G20" s="63">
        <v>0.18795888399412627</v>
      </c>
      <c r="H20" s="87">
        <v>339</v>
      </c>
      <c r="I20" s="63">
        <v>0.10623628956439987</v>
      </c>
      <c r="J20" s="87">
        <v>545</v>
      </c>
      <c r="K20" s="63">
        <v>8.1881009615384609E-2</v>
      </c>
      <c r="L20" s="87">
        <v>456</v>
      </c>
      <c r="M20" s="63">
        <v>0.08</v>
      </c>
      <c r="N20" s="87">
        <v>458</v>
      </c>
      <c r="O20" s="63">
        <v>7.8411230953603833E-2</v>
      </c>
      <c r="P20" s="87">
        <v>208</v>
      </c>
      <c r="Q20" s="63">
        <v>8.1761006289308172E-2</v>
      </c>
      <c r="R20" s="87">
        <v>11</v>
      </c>
      <c r="S20" s="63">
        <v>6.1452513966480445E-2</v>
      </c>
    </row>
    <row r="21" spans="1:19" ht="13.5" thickBot="1" x14ac:dyDescent="0.25">
      <c r="A21" s="89" t="s">
        <v>21</v>
      </c>
      <c r="B21" s="64">
        <f t="shared" si="0"/>
        <v>6260</v>
      </c>
      <c r="C21" s="65">
        <f>B21/$B$23</f>
        <v>0.24432128639450473</v>
      </c>
      <c r="D21" s="86">
        <v>3</v>
      </c>
      <c r="E21" s="65">
        <v>2.0134228187919462E-2</v>
      </c>
      <c r="F21" s="88">
        <v>209</v>
      </c>
      <c r="G21" s="65">
        <v>0.15345080763582966</v>
      </c>
      <c r="H21" s="88">
        <v>1244</v>
      </c>
      <c r="I21" s="65">
        <v>0.38984644312127859</v>
      </c>
      <c r="J21" s="88">
        <v>2292</v>
      </c>
      <c r="K21" s="65">
        <v>0.34435096153846156</v>
      </c>
      <c r="L21" s="88">
        <v>1177</v>
      </c>
      <c r="M21" s="65">
        <v>0.20649122807017545</v>
      </c>
      <c r="N21" s="88">
        <v>880</v>
      </c>
      <c r="O21" s="65">
        <v>0.15065913370998116</v>
      </c>
      <c r="P21" s="88">
        <v>427</v>
      </c>
      <c r="Q21" s="65">
        <v>0.16784591194968554</v>
      </c>
      <c r="R21" s="88">
        <v>28</v>
      </c>
      <c r="S21" s="65">
        <v>0.15642458100558659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25622</v>
      </c>
      <c r="C23" s="67">
        <f>B23/$B$23</f>
        <v>1</v>
      </c>
      <c r="D23" s="71">
        <f>SUM(D17:D21)</f>
        <v>149</v>
      </c>
      <c r="E23" s="67">
        <f>D23/$D$23</f>
        <v>1</v>
      </c>
      <c r="F23" s="71">
        <f>SUM(F17:F21)</f>
        <v>1362</v>
      </c>
      <c r="G23" s="67">
        <f t="shared" ref="G23" si="1">F23/$F$23</f>
        <v>1</v>
      </c>
      <c r="H23" s="50">
        <f>SUM(H17:H21)</f>
        <v>3191</v>
      </c>
      <c r="I23" s="67">
        <f t="shared" ref="I23" si="2">H23/$H$23</f>
        <v>1</v>
      </c>
      <c r="J23" s="71">
        <f>SUM(J17:J21)</f>
        <v>6656</v>
      </c>
      <c r="K23" s="67">
        <f t="shared" ref="K23" si="3">J23/$J$23</f>
        <v>1</v>
      </c>
      <c r="L23" s="50">
        <f>SUM(L17:L21)</f>
        <v>5700</v>
      </c>
      <c r="M23" s="67">
        <f t="shared" ref="M23" si="4">L23/$L$23</f>
        <v>1</v>
      </c>
      <c r="N23" s="50">
        <f>SUM(N17:N21)</f>
        <v>5841</v>
      </c>
      <c r="O23" s="67">
        <f t="shared" ref="O23" si="5">N23/$N$23</f>
        <v>1</v>
      </c>
      <c r="P23" s="50">
        <f>SUM(P17:P21)</f>
        <v>2544</v>
      </c>
      <c r="Q23" s="67">
        <f t="shared" ref="Q23" si="6">P23/$P$23</f>
        <v>1</v>
      </c>
      <c r="R23" s="50">
        <f>SUM(R17:R21)</f>
        <v>179</v>
      </c>
      <c r="S23" s="67">
        <f t="shared" ref="S23" si="7">R23/$R$23</f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5.8153149637030672E-3</v>
      </c>
      <c r="E24" s="32"/>
      <c r="F24" s="32">
        <f>F23/$B$23</f>
        <v>5.3157442822574348E-2</v>
      </c>
      <c r="G24" s="32"/>
      <c r="H24" s="32">
        <f>H23/$B$23</f>
        <v>0.12454140972601671</v>
      </c>
      <c r="I24" s="32"/>
      <c r="J24" s="32">
        <f>J23/$B$23</f>
        <v>0.25977675435172898</v>
      </c>
      <c r="K24" s="32"/>
      <c r="L24" s="33">
        <f>L23/$B$23</f>
        <v>0.22246506908125829</v>
      </c>
      <c r="M24" s="32"/>
      <c r="N24" s="33">
        <f>N23/$B$23</f>
        <v>0.22796815236905785</v>
      </c>
      <c r="O24" s="32"/>
      <c r="P24" s="33">
        <f>P23/$B$23</f>
        <v>9.9289672937319495E-2</v>
      </c>
      <c r="Q24" s="32"/>
      <c r="R24" s="33">
        <f>R23/$B$23</f>
        <v>6.9861837483412691E-3</v>
      </c>
      <c r="S24" s="32"/>
    </row>
    <row r="25" spans="1:19" x14ac:dyDescent="0.2">
      <c r="A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1" spans="1:19" x14ac:dyDescent="0.2">
      <c r="B31" s="3"/>
      <c r="C31" s="3"/>
      <c r="D31" s="3"/>
      <c r="E31" s="3"/>
      <c r="F31" s="3"/>
      <c r="G31" s="3"/>
      <c r="H31" s="3"/>
      <c r="I31" s="3"/>
    </row>
    <row r="32" spans="1:19" x14ac:dyDescent="0.2">
      <c r="B32" s="4"/>
      <c r="C32" s="4"/>
      <c r="D32" s="4"/>
      <c r="E32" s="3"/>
      <c r="F32" s="4"/>
      <c r="G32" s="3"/>
      <c r="H32" s="4"/>
      <c r="I32" s="3"/>
    </row>
  </sheetData>
  <mergeCells count="18">
    <mergeCell ref="N15:O15"/>
    <mergeCell ref="P15:Q15"/>
    <mergeCell ref="R15:S15"/>
    <mergeCell ref="B15:C15"/>
    <mergeCell ref="D15:E15"/>
    <mergeCell ref="F15:G15"/>
    <mergeCell ref="H15:I15"/>
    <mergeCell ref="J15:K15"/>
    <mergeCell ref="L15:M15"/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0" type="noConversion"/>
  <pageMargins left="0.75" right="0.75" top="1" bottom="1" header="0.5" footer="0.5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A18" sqref="A18"/>
    </sheetView>
  </sheetViews>
  <sheetFormatPr defaultRowHeight="12.75" x14ac:dyDescent="0.2"/>
  <cols>
    <col min="1" max="1" width="21" customWidth="1"/>
    <col min="2" max="2" width="7.85546875" customWidth="1"/>
    <col min="3" max="3" width="7.28515625" bestFit="1" customWidth="1"/>
    <col min="4" max="5" width="6.140625" customWidth="1"/>
    <col min="6" max="6" width="7" customWidth="1"/>
    <col min="7" max="7" width="6.140625" customWidth="1"/>
    <col min="8" max="8" width="7.42578125" customWidth="1"/>
    <col min="9" max="9" width="6.28515625" customWidth="1"/>
    <col min="10" max="10" width="7.42578125" customWidth="1"/>
    <col min="11" max="11" width="6.140625" customWidth="1"/>
    <col min="12" max="12" width="7.140625" customWidth="1"/>
    <col min="13" max="13" width="5.5703125" customWidth="1"/>
    <col min="14" max="14" width="7.42578125" customWidth="1"/>
    <col min="15" max="15" width="6" customWidth="1"/>
    <col min="16" max="16" width="7.85546875" customWidth="1"/>
    <col min="17" max="17" width="5.7109375" customWidth="1"/>
    <col min="18" max="18" width="6.42578125" customWidth="1"/>
  </cols>
  <sheetData>
    <row r="1" spans="1:19" x14ac:dyDescent="0.2">
      <c r="A1" s="1" t="s">
        <v>24</v>
      </c>
    </row>
    <row r="2" spans="1:19" ht="13.5" thickBot="1" x14ac:dyDescent="0.25">
      <c r="A2" s="81" t="s">
        <v>20</v>
      </c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108</v>
      </c>
      <c r="C5" s="15">
        <f>B5/$B$11</f>
        <v>4.074241738343142E-3</v>
      </c>
      <c r="D5" s="86">
        <v>2</v>
      </c>
      <c r="E5" s="15">
        <f>D5/$D$11</f>
        <v>1.6129032258064516E-2</v>
      </c>
      <c r="F5" s="87">
        <v>12</v>
      </c>
      <c r="G5" s="15">
        <f>F5/$F$11</f>
        <v>8.2248115147361203E-3</v>
      </c>
      <c r="H5" s="87">
        <v>10</v>
      </c>
      <c r="I5" s="15">
        <f>H5/$H$11</f>
        <v>2.9568302779420462E-3</v>
      </c>
      <c r="J5" s="87">
        <v>25</v>
      </c>
      <c r="K5" s="15">
        <f>J5/$J$11</f>
        <v>3.6405999708752001E-3</v>
      </c>
      <c r="L5" s="87">
        <v>27</v>
      </c>
      <c r="M5" s="15">
        <f>L5/$L$11</f>
        <v>4.8447873676655305E-3</v>
      </c>
      <c r="N5" s="87">
        <v>22</v>
      </c>
      <c r="O5" s="15">
        <f>N5/$N$11</f>
        <v>3.5313001605136438E-3</v>
      </c>
      <c r="P5" s="87">
        <v>10</v>
      </c>
      <c r="Q5" s="15">
        <f>P5/$P$11</f>
        <v>3.70919881305638E-3</v>
      </c>
      <c r="R5" s="87">
        <v>0</v>
      </c>
      <c r="S5" s="15">
        <f t="shared" ref="S5:S11" si="0">R5/$R$11</f>
        <v>0</v>
      </c>
    </row>
    <row r="6" spans="1:19" ht="15.75" thickBot="1" x14ac:dyDescent="0.3">
      <c r="A6" s="42" t="s">
        <v>12</v>
      </c>
      <c r="B6" s="40">
        <f>D6+F6+H6+J6+L6+N6+P6+R6</f>
        <v>6050</v>
      </c>
      <c r="C6" s="16">
        <f>B6/$B$11</f>
        <v>0.22823298626829636</v>
      </c>
      <c r="D6" s="86">
        <v>44</v>
      </c>
      <c r="E6" s="16">
        <f>D6/$D$11</f>
        <v>0.35483870967741937</v>
      </c>
      <c r="F6" s="87">
        <v>265</v>
      </c>
      <c r="G6" s="16">
        <f>F6/$F$11</f>
        <v>0.18163125428375601</v>
      </c>
      <c r="H6" s="87">
        <v>430</v>
      </c>
      <c r="I6" s="16">
        <f>H6/$H$11</f>
        <v>0.12714370195150798</v>
      </c>
      <c r="J6" s="87">
        <v>1233</v>
      </c>
      <c r="K6" s="16">
        <f>J6/$J$11</f>
        <v>0.17955439056356487</v>
      </c>
      <c r="L6" s="87">
        <v>1386</v>
      </c>
      <c r="M6" s="16">
        <f>L6/$L$11</f>
        <v>0.24869908487349721</v>
      </c>
      <c r="N6" s="87">
        <v>1716</v>
      </c>
      <c r="O6" s="16">
        <f>N6/$N$11</f>
        <v>0.27544141252006421</v>
      </c>
      <c r="P6" s="87">
        <v>899</v>
      </c>
      <c r="Q6" s="16">
        <f>P6/$P$11</f>
        <v>0.33345697329376855</v>
      </c>
      <c r="R6" s="87">
        <v>77</v>
      </c>
      <c r="S6" s="16">
        <f t="shared" si="0"/>
        <v>0.43502824858757061</v>
      </c>
    </row>
    <row r="7" spans="1:19" ht="15.75" thickBot="1" x14ac:dyDescent="0.3">
      <c r="A7" s="43" t="s">
        <v>13</v>
      </c>
      <c r="B7" s="40">
        <f>D7+F7+H7+J7+L7+N7+P7+R7</f>
        <v>10957</v>
      </c>
      <c r="C7" s="16">
        <f>B7/$B$11</f>
        <v>0.41334691413912783</v>
      </c>
      <c r="D7" s="86">
        <v>52</v>
      </c>
      <c r="E7" s="16">
        <f>D7/$D$11</f>
        <v>0.41935483870967744</v>
      </c>
      <c r="F7" s="87">
        <v>672</v>
      </c>
      <c r="G7" s="16">
        <f>F7/$F$11</f>
        <v>0.46058944482522274</v>
      </c>
      <c r="H7" s="87">
        <v>1099</v>
      </c>
      <c r="I7" s="16">
        <f>H7/$H$11</f>
        <v>0.32495564754583089</v>
      </c>
      <c r="J7" s="87">
        <v>2459</v>
      </c>
      <c r="K7" s="16">
        <f>J7/$J$11</f>
        <v>0.3580894131352847</v>
      </c>
      <c r="L7" s="87">
        <v>2546</v>
      </c>
      <c r="M7" s="16">
        <f>L7/$L$11</f>
        <v>0.45684550511394223</v>
      </c>
      <c r="N7" s="87">
        <v>2969</v>
      </c>
      <c r="O7" s="16">
        <f>N7/$N$11</f>
        <v>0.47656500802568219</v>
      </c>
      <c r="P7" s="87">
        <v>1099</v>
      </c>
      <c r="Q7" s="16">
        <f>P7/$P$11</f>
        <v>0.40764094955489616</v>
      </c>
      <c r="R7" s="87">
        <v>61</v>
      </c>
      <c r="S7" s="16">
        <f t="shared" si="0"/>
        <v>0.34463276836158191</v>
      </c>
    </row>
    <row r="8" spans="1:19" ht="15.75" thickBot="1" x14ac:dyDescent="0.3">
      <c r="A8" s="42" t="s">
        <v>14</v>
      </c>
      <c r="B8" s="40">
        <f>D8+F8+H8+J8+L8+N8+P8+R8</f>
        <v>2462</v>
      </c>
      <c r="C8" s="16">
        <f>B8/$B$11</f>
        <v>9.2877621850007544E-2</v>
      </c>
      <c r="D8" s="86">
        <v>24</v>
      </c>
      <c r="E8" s="16">
        <f>D8/$D$11</f>
        <v>0.19354838709677419</v>
      </c>
      <c r="F8" s="87">
        <v>249</v>
      </c>
      <c r="G8" s="16">
        <f>F8/$F$11</f>
        <v>0.1706648389307745</v>
      </c>
      <c r="H8" s="87">
        <v>334</v>
      </c>
      <c r="I8" s="16">
        <f>H8/$H$11</f>
        <v>9.8758131283264342E-2</v>
      </c>
      <c r="J8" s="87">
        <v>610</v>
      </c>
      <c r="K8" s="16">
        <f>J8/$J$11</f>
        <v>8.883063928935489E-2</v>
      </c>
      <c r="L8" s="87">
        <v>487</v>
      </c>
      <c r="M8" s="16">
        <f>L8/$L$11</f>
        <v>8.7385609187152338E-2</v>
      </c>
      <c r="N8" s="87">
        <v>530</v>
      </c>
      <c r="O8" s="16">
        <f>N8/$N$11</f>
        <v>8.5072231139646876E-2</v>
      </c>
      <c r="P8" s="87">
        <v>221</v>
      </c>
      <c r="Q8" s="16">
        <f>P8/$P$11</f>
        <v>8.1973293768545993E-2</v>
      </c>
      <c r="R8" s="87">
        <v>7</v>
      </c>
      <c r="S8" s="16">
        <f t="shared" si="0"/>
        <v>3.954802259887006E-2</v>
      </c>
    </row>
    <row r="9" spans="1:19" ht="13.5" thickBot="1" x14ac:dyDescent="0.25">
      <c r="A9" s="89" t="s">
        <v>21</v>
      </c>
      <c r="B9" s="40">
        <f>D9+F9+H9+J9+L9+N9+P9+R9</f>
        <v>6931</v>
      </c>
      <c r="C9" s="17">
        <f>B9/$B$11</f>
        <v>0.26146823600422514</v>
      </c>
      <c r="D9" s="86">
        <f>2+0</f>
        <v>2</v>
      </c>
      <c r="E9" s="17">
        <f>D9/$D$11</f>
        <v>1.6129032258064516E-2</v>
      </c>
      <c r="F9" s="88">
        <f>88+173</f>
        <v>261</v>
      </c>
      <c r="G9" s="17">
        <f>F9/$F$11</f>
        <v>0.17888965044551061</v>
      </c>
      <c r="H9" s="88">
        <f>369+1140</f>
        <v>1509</v>
      </c>
      <c r="I9" s="17">
        <f>H9/$H$11</f>
        <v>0.44618568894145477</v>
      </c>
      <c r="J9" s="88">
        <f>655+1885</f>
        <v>2540</v>
      </c>
      <c r="K9" s="17">
        <f>J9/$J$11</f>
        <v>0.36988495704092034</v>
      </c>
      <c r="L9" s="88">
        <f>510+617</f>
        <v>1127</v>
      </c>
      <c r="M9" s="17">
        <f>L9/$L$11</f>
        <v>0.20222501345774269</v>
      </c>
      <c r="N9" s="88">
        <f>438+555</f>
        <v>993</v>
      </c>
      <c r="O9" s="17">
        <f>N9/$N$11</f>
        <v>0.15939004815409311</v>
      </c>
      <c r="P9" s="88">
        <f>179+288</f>
        <v>467</v>
      </c>
      <c r="Q9" s="17">
        <f>P9/$P$11</f>
        <v>0.17321958456973294</v>
      </c>
      <c r="R9" s="88">
        <v>32</v>
      </c>
      <c r="S9" s="17">
        <f t="shared" si="0"/>
        <v>0.1807909604519774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>
        <f t="shared" si="0"/>
        <v>0</v>
      </c>
    </row>
    <row r="11" spans="1:19" x14ac:dyDescent="0.2">
      <c r="A11" s="43" t="s">
        <v>16</v>
      </c>
      <c r="B11" s="48">
        <f>SUM(B5:B9)</f>
        <v>26508</v>
      </c>
      <c r="C11" s="45">
        <f>B11/$B$11</f>
        <v>1</v>
      </c>
      <c r="D11" s="49">
        <f>SUM(D5:D9)</f>
        <v>124</v>
      </c>
      <c r="E11" s="45">
        <f>D11/$D$11</f>
        <v>1</v>
      </c>
      <c r="F11" s="50">
        <f>SUM(F5:F9)</f>
        <v>1459</v>
      </c>
      <c r="G11" s="45">
        <f>F11/$F$11</f>
        <v>1</v>
      </c>
      <c r="H11" s="50">
        <f>SUM(H5:H9)</f>
        <v>3382</v>
      </c>
      <c r="I11" s="45">
        <f>H11/$H$11</f>
        <v>1</v>
      </c>
      <c r="J11" s="47">
        <f>SUM(J5:J9)</f>
        <v>6867</v>
      </c>
      <c r="K11" s="45">
        <f>J11/$J$11</f>
        <v>1</v>
      </c>
      <c r="L11" s="47">
        <f>SUM(L5:L9)</f>
        <v>5573</v>
      </c>
      <c r="M11" s="45">
        <f>L11/$L$11</f>
        <v>1</v>
      </c>
      <c r="N11" s="47">
        <f>SUM(N5:N9)</f>
        <v>6230</v>
      </c>
      <c r="O11" s="45">
        <f>N11/$N$11</f>
        <v>1</v>
      </c>
      <c r="P11" s="47">
        <f>SUM(P5:P9)</f>
        <v>2696</v>
      </c>
      <c r="Q11" s="45">
        <f>P11/$P$11</f>
        <v>1</v>
      </c>
      <c r="R11" s="47">
        <f>SUM(R5:R10)</f>
        <v>177</v>
      </c>
      <c r="S11" s="45">
        <f t="shared" si="0"/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4.6778331069865699E-3</v>
      </c>
      <c r="E12" s="52"/>
      <c r="F12" s="28">
        <f>F11/$B$11</f>
        <v>5.5039987928172628E-2</v>
      </c>
      <c r="G12" s="52"/>
      <c r="H12" s="28">
        <f>H11/$B$11</f>
        <v>0.12758412554700468</v>
      </c>
      <c r="I12" s="52"/>
      <c r="J12" s="28">
        <f>J11/$B$11</f>
        <v>0.25905387052965145</v>
      </c>
      <c r="K12" s="52"/>
      <c r="L12" s="28">
        <f>L11/$B$11</f>
        <v>0.21023841859061415</v>
      </c>
      <c r="M12" s="52"/>
      <c r="N12" s="28">
        <f>N11/$B$11</f>
        <v>0.23502338916553495</v>
      </c>
      <c r="O12" s="52"/>
      <c r="P12" s="28">
        <f>P11/$B$11</f>
        <v>0.10170514561641769</v>
      </c>
      <c r="Q12" s="52"/>
      <c r="R12" s="28">
        <f>R11/$B$11</f>
        <v>6.6772295156179266E-3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.75" thickBot="1" x14ac:dyDescent="0.3">
      <c r="A17" s="59" t="s">
        <v>11</v>
      </c>
      <c r="B17" s="40">
        <f>SUM(D17,F17,H17,J17,L17,N17,P17,R17)</f>
        <v>158</v>
      </c>
      <c r="C17" s="60">
        <f>B17/$B$23</f>
        <v>5.9955223314233676E-3</v>
      </c>
      <c r="D17" s="86">
        <v>5</v>
      </c>
      <c r="E17" s="60">
        <v>3.4722222222222224E-2</v>
      </c>
      <c r="F17" s="87">
        <v>15</v>
      </c>
      <c r="G17" s="60">
        <v>1.0630758327427357E-2</v>
      </c>
      <c r="H17" s="87">
        <v>14</v>
      </c>
      <c r="I17" s="60">
        <v>4.1481481481481482E-3</v>
      </c>
      <c r="J17" s="87">
        <v>43</v>
      </c>
      <c r="K17" s="60">
        <v>6.1516452074391985E-3</v>
      </c>
      <c r="L17" s="87">
        <v>35</v>
      </c>
      <c r="M17" s="60">
        <v>6.044905008635579E-3</v>
      </c>
      <c r="N17" s="87">
        <v>30</v>
      </c>
      <c r="O17" s="60">
        <v>5.1378660729576985E-3</v>
      </c>
      <c r="P17" s="87">
        <v>15</v>
      </c>
      <c r="Q17" s="60">
        <v>5.7449253159708924E-3</v>
      </c>
      <c r="R17" s="87">
        <v>1</v>
      </c>
      <c r="S17" s="60">
        <v>5.1813471502590676E-3</v>
      </c>
    </row>
    <row r="18" spans="1:19" ht="15.75" thickBot="1" x14ac:dyDescent="0.3">
      <c r="A18" s="61" t="s">
        <v>12</v>
      </c>
      <c r="B18" s="40">
        <f t="shared" ref="B18:B21" si="1">SUM(D18,F18,H18,J18,L18,N18,P18,R18)</f>
        <v>6802</v>
      </c>
      <c r="C18" s="63">
        <f>B18/$B$23</f>
        <v>0.25811103100216293</v>
      </c>
      <c r="D18" s="86">
        <v>68</v>
      </c>
      <c r="E18" s="63">
        <v>0.47222222222222221</v>
      </c>
      <c r="F18" s="87">
        <v>332</v>
      </c>
      <c r="G18" s="63">
        <v>0.23529411764705882</v>
      </c>
      <c r="H18" s="87">
        <v>564</v>
      </c>
      <c r="I18" s="63">
        <v>0.1671111111111111</v>
      </c>
      <c r="J18" s="87">
        <v>1491</v>
      </c>
      <c r="K18" s="63">
        <v>0.21330472103004292</v>
      </c>
      <c r="L18" s="87">
        <v>1585</v>
      </c>
      <c r="M18" s="63">
        <v>0.27374784110535405</v>
      </c>
      <c r="N18" s="87">
        <v>1807</v>
      </c>
      <c r="O18" s="63">
        <v>0.30947079979448533</v>
      </c>
      <c r="P18" s="87">
        <v>884</v>
      </c>
      <c r="Q18" s="63">
        <v>0.33856759862121794</v>
      </c>
      <c r="R18" s="87">
        <v>71</v>
      </c>
      <c r="S18" s="63">
        <v>0.36787564766839376</v>
      </c>
    </row>
    <row r="19" spans="1:19" ht="15.75" thickBot="1" x14ac:dyDescent="0.3">
      <c r="A19" s="29" t="s">
        <v>13</v>
      </c>
      <c r="B19" s="40">
        <f t="shared" si="1"/>
        <v>10326</v>
      </c>
      <c r="C19" s="63">
        <f>B19/$B$23</f>
        <v>0.3918339467992259</v>
      </c>
      <c r="D19" s="86">
        <v>49</v>
      </c>
      <c r="E19" s="63">
        <v>0.34027777777777779</v>
      </c>
      <c r="F19" s="87">
        <v>587</v>
      </c>
      <c r="G19" s="63">
        <v>0.41601700921332391</v>
      </c>
      <c r="H19" s="87">
        <v>1089</v>
      </c>
      <c r="I19" s="63">
        <v>0.32266666666666666</v>
      </c>
      <c r="J19" s="87">
        <v>2376</v>
      </c>
      <c r="K19" s="63">
        <v>0.33991416309012873</v>
      </c>
      <c r="L19" s="87">
        <v>2484</v>
      </c>
      <c r="M19" s="63">
        <v>0.42901554404145076</v>
      </c>
      <c r="N19" s="87">
        <v>2605</v>
      </c>
      <c r="O19" s="63">
        <v>0.44613803733516011</v>
      </c>
      <c r="P19" s="87">
        <v>1059</v>
      </c>
      <c r="Q19" s="63">
        <v>0.405591727307545</v>
      </c>
      <c r="R19" s="87">
        <v>77</v>
      </c>
      <c r="S19" s="63">
        <v>0.39896373056994816</v>
      </c>
    </row>
    <row r="20" spans="1:19" ht="15.75" thickBot="1" x14ac:dyDescent="0.3">
      <c r="A20" s="61" t="s">
        <v>14</v>
      </c>
      <c r="B20" s="40">
        <f t="shared" si="1"/>
        <v>2376</v>
      </c>
      <c r="C20" s="63">
        <f>B20/$B$23</f>
        <v>9.0160513034569123E-2</v>
      </c>
      <c r="D20" s="86">
        <v>21</v>
      </c>
      <c r="E20" s="63">
        <v>0.14583333333333334</v>
      </c>
      <c r="F20" s="87">
        <v>261</v>
      </c>
      <c r="G20" s="63">
        <v>0.18497519489723599</v>
      </c>
      <c r="H20" s="87">
        <v>355</v>
      </c>
      <c r="I20" s="63">
        <v>0.10518518518518519</v>
      </c>
      <c r="J20" s="87">
        <v>556</v>
      </c>
      <c r="K20" s="63">
        <v>7.9542203147353358E-2</v>
      </c>
      <c r="L20" s="87">
        <v>475</v>
      </c>
      <c r="M20" s="63">
        <v>8.2037996545768571E-2</v>
      </c>
      <c r="N20" s="87">
        <v>483</v>
      </c>
      <c r="O20" s="63">
        <v>8.2719643774618948E-2</v>
      </c>
      <c r="P20" s="87">
        <v>213</v>
      </c>
      <c r="Q20" s="63">
        <v>8.1577939486786669E-2</v>
      </c>
      <c r="R20" s="87">
        <v>12</v>
      </c>
      <c r="S20" s="63">
        <v>6.2176165803108807E-2</v>
      </c>
    </row>
    <row r="21" spans="1:19" ht="13.5" thickBot="1" x14ac:dyDescent="0.25">
      <c r="A21" s="89" t="s">
        <v>21</v>
      </c>
      <c r="B21" s="40">
        <f t="shared" si="1"/>
        <v>6691</v>
      </c>
      <c r="C21" s="65">
        <f>B21/$B$23</f>
        <v>0.25389898683261869</v>
      </c>
      <c r="D21" s="86">
        <v>1</v>
      </c>
      <c r="E21" s="65">
        <v>6.9444444444444441E-3</v>
      </c>
      <c r="F21" s="88">
        <v>216</v>
      </c>
      <c r="G21" s="65">
        <v>0.15308291991495393</v>
      </c>
      <c r="H21" s="88">
        <v>1353</v>
      </c>
      <c r="I21" s="65">
        <v>0.40088888888888891</v>
      </c>
      <c r="J21" s="88">
        <v>2524</v>
      </c>
      <c r="K21" s="65">
        <v>0.36108726752503578</v>
      </c>
      <c r="L21" s="88">
        <v>1211</v>
      </c>
      <c r="M21" s="65">
        <v>0.20915371329879101</v>
      </c>
      <c r="N21" s="88">
        <v>914</v>
      </c>
      <c r="O21" s="65">
        <v>0.15653365302277789</v>
      </c>
      <c r="P21" s="88">
        <v>440</v>
      </c>
      <c r="Q21" s="65">
        <v>0.16851780926847951</v>
      </c>
      <c r="R21" s="88">
        <v>32</v>
      </c>
      <c r="S21" s="65">
        <v>0.16580310880829016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SUM(B17:B22)</f>
        <v>26353</v>
      </c>
      <c r="C23" s="67">
        <f>B23/$B$23</f>
        <v>1</v>
      </c>
      <c r="D23" s="71">
        <f>SUM(D17:D21)</f>
        <v>144</v>
      </c>
      <c r="E23" s="67">
        <f>D23/$D$23</f>
        <v>1</v>
      </c>
      <c r="F23" s="71">
        <f>SUM(F17:F21)</f>
        <v>1411</v>
      </c>
      <c r="G23" s="67">
        <f t="shared" ref="G23" si="2">F23/$F$23</f>
        <v>1</v>
      </c>
      <c r="H23" s="50">
        <f>SUM(H17:H21)</f>
        <v>3375</v>
      </c>
      <c r="I23" s="67">
        <f t="shared" ref="I23" si="3">H23/$H$23</f>
        <v>1</v>
      </c>
      <c r="J23" s="71">
        <f>SUM(J17:J21)</f>
        <v>6990</v>
      </c>
      <c r="K23" s="67">
        <f t="shared" ref="K23" si="4">J23/$J$23</f>
        <v>1</v>
      </c>
      <c r="L23" s="50">
        <f>SUM(L17:L21)</f>
        <v>5790</v>
      </c>
      <c r="M23" s="67">
        <f t="shared" ref="M23" si="5">L23/$L$23</f>
        <v>1</v>
      </c>
      <c r="N23" s="50">
        <f>SUM(N17:N21)</f>
        <v>5839</v>
      </c>
      <c r="O23" s="67">
        <f t="shared" ref="O23" si="6">N23/$N$23</f>
        <v>1</v>
      </c>
      <c r="P23" s="50">
        <f>SUM(P17:P21)</f>
        <v>2611</v>
      </c>
      <c r="Q23" s="67">
        <f t="shared" ref="Q23" si="7">P23/$P$23</f>
        <v>1</v>
      </c>
      <c r="R23" s="50">
        <f>SUM(R17:R21)</f>
        <v>193</v>
      </c>
      <c r="S23" s="67">
        <f t="shared" ref="S23" si="8">R23/$R$23</f>
        <v>1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5.4642735172466131E-3</v>
      </c>
      <c r="E24" s="32"/>
      <c r="F24" s="32">
        <f>F23/$B$23</f>
        <v>5.3542291200242856E-2</v>
      </c>
      <c r="G24" s="32"/>
      <c r="H24" s="32">
        <f>H23/$B$23</f>
        <v>0.12806891056046749</v>
      </c>
      <c r="I24" s="32"/>
      <c r="J24" s="32">
        <f>J23/$B$23</f>
        <v>0.26524494364967938</v>
      </c>
      <c r="K24" s="32"/>
      <c r="L24" s="33">
        <f>L23/$B$23</f>
        <v>0.21970933100595758</v>
      </c>
      <c r="M24" s="32"/>
      <c r="N24" s="33">
        <f>N23/$B$23</f>
        <v>0.22156870185557623</v>
      </c>
      <c r="O24" s="32"/>
      <c r="P24" s="33">
        <f>P23/$B$23</f>
        <v>9.9077903843964629E-2</v>
      </c>
      <c r="Q24" s="32"/>
      <c r="R24" s="33">
        <f>R23/$B$23</f>
        <v>7.3236443668652524E-3</v>
      </c>
      <c r="S24" s="32"/>
    </row>
  </sheetData>
  <mergeCells count="18">
    <mergeCell ref="B15:C15"/>
    <mergeCell ref="D15:E15"/>
    <mergeCell ref="B3:C3"/>
    <mergeCell ref="D3:E3"/>
    <mergeCell ref="F3:G3"/>
    <mergeCell ref="H3:I3"/>
    <mergeCell ref="F15:G15"/>
    <mergeCell ref="H15:I15"/>
    <mergeCell ref="J15:K15"/>
    <mergeCell ref="P15:Q15"/>
    <mergeCell ref="L15:M15"/>
    <mergeCell ref="J3:K3"/>
    <mergeCell ref="L3:M3"/>
    <mergeCell ref="R15:S15"/>
    <mergeCell ref="N3:O3"/>
    <mergeCell ref="P3:Q3"/>
    <mergeCell ref="R3:S3"/>
    <mergeCell ref="N15:O15"/>
  </mergeCells>
  <phoneticPr fontId="6" type="noConversion"/>
  <pageMargins left="0.15748031496062992" right="0.3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C28" sqref="C28"/>
    </sheetView>
  </sheetViews>
  <sheetFormatPr defaultRowHeight="12.75" x14ac:dyDescent="0.2"/>
  <cols>
    <col min="1" max="1" width="22.85546875" customWidth="1"/>
    <col min="2" max="2" width="7.5703125" customWidth="1"/>
    <col min="3" max="3" width="6.7109375" customWidth="1"/>
    <col min="4" max="4" width="6" customWidth="1"/>
    <col min="5" max="5" width="6.5703125" customWidth="1"/>
    <col min="6" max="6" width="5.7109375" customWidth="1"/>
    <col min="7" max="7" width="6.5703125" customWidth="1"/>
    <col min="8" max="8" width="7" customWidth="1"/>
    <col min="9" max="10" width="6.42578125" customWidth="1"/>
    <col min="11" max="11" width="6.28515625" customWidth="1"/>
    <col min="12" max="12" width="6.7109375" customWidth="1"/>
    <col min="13" max="13" width="6.42578125" customWidth="1"/>
    <col min="14" max="14" width="6.7109375" customWidth="1"/>
    <col min="15" max="16" width="6.42578125" customWidth="1"/>
    <col min="17" max="17" width="6.28515625" customWidth="1"/>
    <col min="18" max="18" width="6.85546875" customWidth="1"/>
    <col min="19" max="19" width="7.140625" customWidth="1"/>
  </cols>
  <sheetData>
    <row r="1" spans="1:19" x14ac:dyDescent="0.2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8"/>
      <c r="O1" s="18"/>
      <c r="P1" s="18"/>
      <c r="Q1" s="18"/>
      <c r="R1" s="18"/>
      <c r="S1" s="18"/>
    </row>
    <row r="2" spans="1:19" ht="13.5" thickBot="1" x14ac:dyDescent="0.25">
      <c r="A2" s="82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85</v>
      </c>
      <c r="C5" s="15">
        <f>B5/$B$11</f>
        <v>4.1841004184100415E-3</v>
      </c>
      <c r="D5" s="86">
        <v>3</v>
      </c>
      <c r="E5" s="15">
        <f>D5/$D$11</f>
        <v>3.5294117647058823E-2</v>
      </c>
      <c r="F5" s="87">
        <v>10</v>
      </c>
      <c r="G5" s="15">
        <f>F5/$F$11</f>
        <v>1.020408163265306E-2</v>
      </c>
      <c r="H5" s="87">
        <v>11</v>
      </c>
      <c r="I5" s="15">
        <f>H5/$H$11</f>
        <v>4.3789808917197451E-3</v>
      </c>
      <c r="J5" s="87">
        <v>17</v>
      </c>
      <c r="K5" s="15">
        <f>J5/$J$11</f>
        <v>3.1972917058491631E-3</v>
      </c>
      <c r="L5" s="87">
        <v>21</v>
      </c>
      <c r="M5" s="15">
        <f>L5/$L$11</f>
        <v>5.1369863013698627E-3</v>
      </c>
      <c r="N5" s="87">
        <v>14</v>
      </c>
      <c r="O5" s="15">
        <f>N5/$N$11</f>
        <v>2.871794871794872E-3</v>
      </c>
      <c r="P5" s="87">
        <v>8</v>
      </c>
      <c r="Q5" s="15">
        <f>P5/$P$11</f>
        <v>3.4677069787602947E-3</v>
      </c>
      <c r="R5" s="87">
        <v>1</v>
      </c>
      <c r="S5" s="15">
        <f>R5/$R$11</f>
        <v>6.6225165562913907E-3</v>
      </c>
    </row>
    <row r="6" spans="1:19" ht="15.75" thickBot="1" x14ac:dyDescent="0.3">
      <c r="A6" s="42" t="s">
        <v>12</v>
      </c>
      <c r="B6" s="40">
        <f>D6+F6+H6+J6+L6+N6+P6+R6</f>
        <v>3982</v>
      </c>
      <c r="C6" s="16">
        <f>B6/$B$11</f>
        <v>0.19601279842480926</v>
      </c>
      <c r="D6" s="86">
        <v>31</v>
      </c>
      <c r="E6" s="16">
        <f>D6/$D$11</f>
        <v>0.36470588235294116</v>
      </c>
      <c r="F6" s="87">
        <v>164</v>
      </c>
      <c r="G6" s="16">
        <f>F6/$F$11</f>
        <v>0.16734693877551021</v>
      </c>
      <c r="H6" s="87">
        <v>246</v>
      </c>
      <c r="I6" s="16">
        <f>H6/$H$11</f>
        <v>9.792993630573249E-2</v>
      </c>
      <c r="J6" s="87">
        <v>796</v>
      </c>
      <c r="K6" s="16">
        <f>J6/$J$11</f>
        <v>0.14970848222681962</v>
      </c>
      <c r="L6" s="87">
        <v>828</v>
      </c>
      <c r="M6" s="16">
        <f>L6/$L$11</f>
        <v>0.20254403131115459</v>
      </c>
      <c r="N6" s="87">
        <v>1162</v>
      </c>
      <c r="O6" s="16">
        <f>N6/$N$11</f>
        <v>0.23835897435897435</v>
      </c>
      <c r="P6" s="87">
        <v>689</v>
      </c>
      <c r="Q6" s="16">
        <f>P6/$P$11</f>
        <v>0.29865626354573038</v>
      </c>
      <c r="R6" s="87">
        <v>66</v>
      </c>
      <c r="S6" s="16">
        <f>R6/$R$11</f>
        <v>0.4370860927152318</v>
      </c>
    </row>
    <row r="7" spans="1:19" ht="15.75" thickBot="1" x14ac:dyDescent="0.3">
      <c r="A7" s="43" t="s">
        <v>13</v>
      </c>
      <c r="B7" s="40">
        <f>D7+F7+H7+J7+L7+N7+P7+R7</f>
        <v>8265</v>
      </c>
      <c r="C7" s="16">
        <f>B7/$B$11</f>
        <v>0.40684223480187054</v>
      </c>
      <c r="D7" s="86">
        <v>44</v>
      </c>
      <c r="E7" s="16">
        <f>D7/$D$11</f>
        <v>0.51764705882352946</v>
      </c>
      <c r="F7" s="87">
        <v>448</v>
      </c>
      <c r="G7" s="16">
        <f>F7/$F$11</f>
        <v>0.45714285714285713</v>
      </c>
      <c r="H7" s="87">
        <v>771</v>
      </c>
      <c r="I7" s="16">
        <f>H7/$H$11</f>
        <v>0.30692675159235666</v>
      </c>
      <c r="J7" s="87">
        <v>1774</v>
      </c>
      <c r="K7" s="16">
        <f>J7/$J$11</f>
        <v>0.33364679330449504</v>
      </c>
      <c r="L7" s="87">
        <v>1874</v>
      </c>
      <c r="M7" s="16">
        <f>L7/$L$11</f>
        <v>0.45841487279843446</v>
      </c>
      <c r="N7" s="87">
        <v>2343</v>
      </c>
      <c r="O7" s="16">
        <f>N7/$N$11</f>
        <v>0.48061538461538461</v>
      </c>
      <c r="P7" s="87">
        <v>960</v>
      </c>
      <c r="Q7" s="16">
        <f>P7/$P$11</f>
        <v>0.41612483745123535</v>
      </c>
      <c r="R7" s="87">
        <v>51</v>
      </c>
      <c r="S7" s="16">
        <f>R7/$R$11</f>
        <v>0.33774834437086093</v>
      </c>
    </row>
    <row r="8" spans="1:19" ht="15.75" thickBot="1" x14ac:dyDescent="0.3">
      <c r="A8" s="42" t="s">
        <v>14</v>
      </c>
      <c r="B8" s="40">
        <f>D8+F8+H8+J8+L8+N8+P8+R8</f>
        <v>1823</v>
      </c>
      <c r="C8" s="16">
        <f>B8/$B$11</f>
        <v>8.9736647797194188E-2</v>
      </c>
      <c r="D8" s="86">
        <v>7</v>
      </c>
      <c r="E8" s="16">
        <f>D8/$D$11</f>
        <v>8.2352941176470587E-2</v>
      </c>
      <c r="F8" s="87">
        <v>164</v>
      </c>
      <c r="G8" s="16">
        <f>F8/$F$11</f>
        <v>0.16734693877551021</v>
      </c>
      <c r="H8" s="87">
        <v>219</v>
      </c>
      <c r="I8" s="16">
        <f>H8/$H$11</f>
        <v>8.7181528662420377E-2</v>
      </c>
      <c r="J8" s="87">
        <v>446</v>
      </c>
      <c r="K8" s="16">
        <f>J8/$J$11</f>
        <v>8.3881888282866274E-2</v>
      </c>
      <c r="L8" s="87">
        <v>338</v>
      </c>
      <c r="M8" s="16">
        <f>L8/$L$11</f>
        <v>8.2681017612524457E-2</v>
      </c>
      <c r="N8" s="87">
        <v>438</v>
      </c>
      <c r="O8" s="16">
        <f>N8/$N$11</f>
        <v>8.9846153846153839E-2</v>
      </c>
      <c r="P8" s="87">
        <v>205</v>
      </c>
      <c r="Q8" s="16">
        <f>P8/$P$11</f>
        <v>8.8859991330732552E-2</v>
      </c>
      <c r="R8" s="87">
        <v>6</v>
      </c>
      <c r="S8" s="16">
        <f>R8/$R$11</f>
        <v>3.9735099337748346E-2</v>
      </c>
    </row>
    <row r="9" spans="1:19" ht="13.5" thickBot="1" x14ac:dyDescent="0.25">
      <c r="A9" s="89" t="s">
        <v>21</v>
      </c>
      <c r="B9" s="40">
        <f>D9+F9+H9+J9+L9+N9+P9+R9</f>
        <v>6160</v>
      </c>
      <c r="C9" s="17">
        <f>B9/$B$11</f>
        <v>0.30322421855771597</v>
      </c>
      <c r="D9" s="86">
        <v>0</v>
      </c>
      <c r="E9" s="17">
        <f>D9/$D$11</f>
        <v>0</v>
      </c>
      <c r="F9" s="88">
        <f>66+128</f>
        <v>194</v>
      </c>
      <c r="G9" s="17">
        <f>F9/$F$11</f>
        <v>0.19795918367346937</v>
      </c>
      <c r="H9" s="88">
        <f>289+976</f>
        <v>1265</v>
      </c>
      <c r="I9" s="17">
        <f>H9/$H$11</f>
        <v>0.50358280254777066</v>
      </c>
      <c r="J9" s="88">
        <f>533+1751</f>
        <v>2284</v>
      </c>
      <c r="K9" s="17">
        <f>J9/$J$11</f>
        <v>0.42956554447996992</v>
      </c>
      <c r="L9" s="88">
        <f>459+568</f>
        <v>1027</v>
      </c>
      <c r="M9" s="17">
        <f>L9/$L$11</f>
        <v>0.25122309197651665</v>
      </c>
      <c r="N9" s="88">
        <f>391+527</f>
        <v>918</v>
      </c>
      <c r="O9" s="17">
        <f>N9/$N$11</f>
        <v>0.18830769230769231</v>
      </c>
      <c r="P9" s="88">
        <f>164+281</f>
        <v>445</v>
      </c>
      <c r="Q9" s="17">
        <f>P9/$P$11</f>
        <v>0.1928912006935414</v>
      </c>
      <c r="R9" s="88">
        <v>27</v>
      </c>
      <c r="S9" s="17">
        <f>R9/$R$11</f>
        <v>0.17880794701986755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SUM(B5:B9)</f>
        <v>20315</v>
      </c>
      <c r="C11" s="45">
        <f>B11/$B$11</f>
        <v>1</v>
      </c>
      <c r="D11" s="49">
        <f>SUM(D5:D9)</f>
        <v>85</v>
      </c>
      <c r="E11" s="45">
        <f>D11/$D$11</f>
        <v>1</v>
      </c>
      <c r="F11" s="50">
        <f>SUM(F5:F9)</f>
        <v>980</v>
      </c>
      <c r="G11" s="45">
        <f>F11/$F$11</f>
        <v>1</v>
      </c>
      <c r="H11" s="50">
        <f>SUM(H5:H9)</f>
        <v>2512</v>
      </c>
      <c r="I11" s="45">
        <f>H11/$H$11</f>
        <v>1</v>
      </c>
      <c r="J11" s="47">
        <f>SUM(J5:J9)</f>
        <v>5317</v>
      </c>
      <c r="K11" s="45">
        <f>J11/$J$11</f>
        <v>1</v>
      </c>
      <c r="L11" s="47">
        <f>SUM(L5:L9)</f>
        <v>4088</v>
      </c>
      <c r="M11" s="45">
        <f>L11/$L$11</f>
        <v>1</v>
      </c>
      <c r="N11" s="47">
        <f>SUM(N5:N9)</f>
        <v>4875</v>
      </c>
      <c r="O11" s="45">
        <f>N11/$N$11</f>
        <v>1</v>
      </c>
      <c r="P11" s="47">
        <f>SUM(P5:P9)</f>
        <v>2307</v>
      </c>
      <c r="Q11" s="45">
        <f>P11/$P$11</f>
        <v>1</v>
      </c>
      <c r="R11" s="47">
        <f>SUM(R5:R9)</f>
        <v>151</v>
      </c>
      <c r="S11" s="45">
        <f>R11/$R$11</f>
        <v>1</v>
      </c>
    </row>
    <row r="12" spans="1:19" ht="13.5" thickBot="1" x14ac:dyDescent="0.25">
      <c r="A12" s="51" t="s">
        <v>17</v>
      </c>
      <c r="B12" s="52">
        <f>B11/$B$11</f>
        <v>1</v>
      </c>
      <c r="C12" s="52"/>
      <c r="D12" s="27">
        <f>D11/$B$11</f>
        <v>4.1841004184100415E-3</v>
      </c>
      <c r="E12" s="52"/>
      <c r="F12" s="28">
        <f>F11/$B$11</f>
        <v>4.8240216588727541E-2</v>
      </c>
      <c r="G12" s="52"/>
      <c r="H12" s="28">
        <f>H11/$B$11</f>
        <v>0.12365247354171795</v>
      </c>
      <c r="I12" s="52"/>
      <c r="J12" s="28">
        <f>J11/$B$11</f>
        <v>0.26172778734924934</v>
      </c>
      <c r="K12" s="52"/>
      <c r="L12" s="28">
        <f>L11/$B$11</f>
        <v>0.20123061777012061</v>
      </c>
      <c r="M12" s="52"/>
      <c r="N12" s="28">
        <f>N11/$B$11</f>
        <v>0.23997046517351711</v>
      </c>
      <c r="O12" s="52"/>
      <c r="P12" s="28">
        <f>P11/$B$11</f>
        <v>0.11356140782672902</v>
      </c>
      <c r="Q12" s="52"/>
      <c r="R12" s="28">
        <f>R11/$B$11</f>
        <v>7.4329313315284274E-3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175</v>
      </c>
      <c r="C17" s="60">
        <f>B17/$B$23</f>
        <v>6.1208072470357805E-3</v>
      </c>
      <c r="D17" s="86">
        <v>4</v>
      </c>
      <c r="E17" s="60">
        <v>2.8571428571428571E-2</v>
      </c>
      <c r="F17" s="87">
        <v>16</v>
      </c>
      <c r="G17" s="60">
        <v>1.0069225928256766E-2</v>
      </c>
      <c r="H17" s="87">
        <v>17</v>
      </c>
      <c r="I17" s="60">
        <v>4.4502617801047122E-3</v>
      </c>
      <c r="J17" s="87">
        <v>47</v>
      </c>
      <c r="K17" s="60">
        <v>6.2062590783045031E-3</v>
      </c>
      <c r="L17" s="87">
        <v>40</v>
      </c>
      <c r="M17" s="60">
        <v>6.3979526551503517E-3</v>
      </c>
      <c r="N17" s="87">
        <v>33</v>
      </c>
      <c r="O17" s="60">
        <v>5.2825356170962063E-3</v>
      </c>
      <c r="P17" s="87">
        <v>17</v>
      </c>
      <c r="Q17" s="60">
        <v>6.1705989110707807E-3</v>
      </c>
      <c r="R17" s="87">
        <v>1</v>
      </c>
      <c r="S17" s="60">
        <v>4.6511627906976744E-3</v>
      </c>
    </row>
    <row r="18" spans="1:19" ht="15" x14ac:dyDescent="0.25">
      <c r="A18" s="61" t="s">
        <v>12</v>
      </c>
      <c r="B18" s="62">
        <f>D18+F18+H18+J18+L18+N18+P18+R18</f>
        <v>7330</v>
      </c>
      <c r="C18" s="63">
        <f t="shared" ref="C18:C21" si="0">B18/$B$23</f>
        <v>0.2563743835472701</v>
      </c>
      <c r="D18" s="86">
        <v>69</v>
      </c>
      <c r="E18" s="63">
        <v>0.49285714285714288</v>
      </c>
      <c r="F18" s="87">
        <v>380</v>
      </c>
      <c r="G18" s="63">
        <v>0.23914411579609818</v>
      </c>
      <c r="H18" s="87">
        <v>639</v>
      </c>
      <c r="I18" s="63">
        <v>0.16727748691099475</v>
      </c>
      <c r="J18" s="87">
        <v>1621</v>
      </c>
      <c r="K18" s="63">
        <v>0.21404991416875743</v>
      </c>
      <c r="L18" s="87">
        <v>1709</v>
      </c>
      <c r="M18" s="63">
        <v>0.27335252719129877</v>
      </c>
      <c r="N18" s="87">
        <v>1905</v>
      </c>
      <c r="O18" s="63">
        <v>0.3049463742596446</v>
      </c>
      <c r="P18" s="87">
        <v>927</v>
      </c>
      <c r="Q18" s="63">
        <v>0.33647912885662434</v>
      </c>
      <c r="R18" s="87">
        <v>80</v>
      </c>
      <c r="S18" s="63">
        <v>0.37209302325581395</v>
      </c>
    </row>
    <row r="19" spans="1:19" ht="15" x14ac:dyDescent="0.25">
      <c r="A19" s="29" t="s">
        <v>13</v>
      </c>
      <c r="B19" s="62">
        <f>D19+F19+H19+J19+L19+N19+P19+R19</f>
        <v>11083</v>
      </c>
      <c r="C19" s="63">
        <f t="shared" si="0"/>
        <v>0.38763946696512891</v>
      </c>
      <c r="D19" s="86">
        <v>45</v>
      </c>
      <c r="E19" s="63">
        <v>0.32142857142857145</v>
      </c>
      <c r="F19" s="87">
        <v>666</v>
      </c>
      <c r="G19" s="63">
        <v>0.41913152926368785</v>
      </c>
      <c r="H19" s="87">
        <v>1224</v>
      </c>
      <c r="I19" s="63">
        <v>0.32041884816753929</v>
      </c>
      <c r="J19" s="87">
        <v>2566</v>
      </c>
      <c r="K19" s="63">
        <v>0.33355341344249306</v>
      </c>
      <c r="L19" s="87">
        <v>2651</v>
      </c>
      <c r="M19" s="63">
        <v>0.42402431222008957</v>
      </c>
      <c r="N19" s="87">
        <v>2735</v>
      </c>
      <c r="O19" s="63">
        <v>0.4378101488714583</v>
      </c>
      <c r="P19" s="87">
        <v>1109</v>
      </c>
      <c r="Q19" s="63">
        <v>0.40254083484573505</v>
      </c>
      <c r="R19" s="87">
        <v>87</v>
      </c>
      <c r="S19" s="63">
        <v>0.40465116279069768</v>
      </c>
    </row>
    <row r="20" spans="1:19" ht="15" x14ac:dyDescent="0.25">
      <c r="A20" s="61" t="s">
        <v>14</v>
      </c>
      <c r="B20" s="62">
        <f>D20+F20+H20+J20+L20+N20+P20+R20</f>
        <v>2547</v>
      </c>
      <c r="C20" s="63">
        <f t="shared" si="0"/>
        <v>8.908397747542933E-2</v>
      </c>
      <c r="D20" s="86">
        <v>21</v>
      </c>
      <c r="E20" s="63">
        <v>0.15</v>
      </c>
      <c r="F20" s="87">
        <v>285</v>
      </c>
      <c r="G20" s="63">
        <v>0.17935808684707363</v>
      </c>
      <c r="H20" s="87">
        <v>386</v>
      </c>
      <c r="I20" s="63">
        <v>0.10104712041884817</v>
      </c>
      <c r="J20" s="87">
        <v>597</v>
      </c>
      <c r="K20" s="63">
        <v>7.8832695101016773E-2</v>
      </c>
      <c r="L20" s="87">
        <v>508</v>
      </c>
      <c r="M20" s="63">
        <v>8.1253998720409462E-2</v>
      </c>
      <c r="N20" s="87">
        <v>503</v>
      </c>
      <c r="O20" s="63">
        <v>8.0518648951496713E-2</v>
      </c>
      <c r="P20" s="87">
        <v>235</v>
      </c>
      <c r="Q20" s="63">
        <v>8.5299455535390201E-2</v>
      </c>
      <c r="R20" s="87">
        <v>12</v>
      </c>
      <c r="S20" s="63">
        <v>5.5813953488372092E-2</v>
      </c>
    </row>
    <row r="21" spans="1:19" ht="13.5" thickBot="1" x14ac:dyDescent="0.25">
      <c r="A21" s="89" t="s">
        <v>21</v>
      </c>
      <c r="B21" s="64">
        <f>D21+F21+H21+J21+L21+N21+P21+R21</f>
        <v>7456</v>
      </c>
      <c r="C21" s="65">
        <f t="shared" si="0"/>
        <v>0.26078136476513586</v>
      </c>
      <c r="D21" s="86">
        <v>1</v>
      </c>
      <c r="E21" s="65">
        <v>7.1428571428571426E-3</v>
      </c>
      <c r="F21" s="88">
        <v>242</v>
      </c>
      <c r="G21" s="65">
        <v>0.15229704216488357</v>
      </c>
      <c r="H21" s="88">
        <v>1554</v>
      </c>
      <c r="I21" s="65">
        <v>0.40680628272251307</v>
      </c>
      <c r="J21" s="88">
        <v>2822</v>
      </c>
      <c r="K21" s="65">
        <v>0.36735771820942825</v>
      </c>
      <c r="L21" s="88">
        <v>1344</v>
      </c>
      <c r="M21" s="65">
        <v>0.21497120921305182</v>
      </c>
      <c r="N21" s="88">
        <v>991</v>
      </c>
      <c r="O21" s="65">
        <v>0.17144229230030414</v>
      </c>
      <c r="P21" s="88">
        <v>467</v>
      </c>
      <c r="Q21" s="65">
        <v>0.16950998185117969</v>
      </c>
      <c r="R21" s="88">
        <v>35</v>
      </c>
      <c r="S21" s="65">
        <v>0.16279069767441862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SUM(B17:B21)</f>
        <v>28591</v>
      </c>
      <c r="C23" s="67">
        <f>B23/$B$23</f>
        <v>1</v>
      </c>
      <c r="D23" s="71">
        <f>SUM(D17:D21)</f>
        <v>140</v>
      </c>
      <c r="E23" s="67">
        <f>D23/$B$23</f>
        <v>4.8966457976286244E-3</v>
      </c>
      <c r="F23" s="71">
        <f>SUM(F17:F21)</f>
        <v>1589</v>
      </c>
      <c r="G23" s="67">
        <f>F23/$B$23</f>
        <v>5.5576929803084887E-2</v>
      </c>
      <c r="H23" s="50">
        <f>SUM(H17:H21)</f>
        <v>3820</v>
      </c>
      <c r="I23" s="67">
        <f>H23/$B$23</f>
        <v>0.13360847819243818</v>
      </c>
      <c r="J23" s="71">
        <f>SUM(J17:J21)</f>
        <v>7653</v>
      </c>
      <c r="K23" s="67">
        <f>J23/$B$23</f>
        <v>0.26767164492322759</v>
      </c>
      <c r="L23" s="50">
        <f>SUM(L17:L21)</f>
        <v>6252</v>
      </c>
      <c r="M23" s="67">
        <f>L23/$B$23</f>
        <v>0.21867021090552971</v>
      </c>
      <c r="N23" s="50">
        <f>SUM(N17:N21)</f>
        <v>6167</v>
      </c>
      <c r="O23" s="67">
        <f>N23/$B$23</f>
        <v>0.21569724738554091</v>
      </c>
      <c r="P23" s="50">
        <f>SUM(P17:P21)</f>
        <v>2755</v>
      </c>
      <c r="Q23" s="67">
        <f>P23/$B$23</f>
        <v>9.6358994089049008E-2</v>
      </c>
      <c r="R23" s="50">
        <f>SUM(R17:R21)</f>
        <v>215</v>
      </c>
      <c r="S23" s="67">
        <f>R23/$B$23</f>
        <v>7.519848903501102E-3</v>
      </c>
    </row>
    <row r="24" spans="1:19" ht="13.5" thickBot="1" x14ac:dyDescent="0.25">
      <c r="A24" s="31" t="s">
        <v>17</v>
      </c>
      <c r="B24" s="32">
        <f>B23/$B$23</f>
        <v>1</v>
      </c>
      <c r="C24" s="32"/>
      <c r="D24" s="32">
        <f>D23/$B$23</f>
        <v>4.8966457976286244E-3</v>
      </c>
      <c r="E24" s="32"/>
      <c r="F24" s="32">
        <f>F23/$B$23</f>
        <v>5.5576929803084887E-2</v>
      </c>
      <c r="G24" s="32"/>
      <c r="H24" s="32">
        <f>H23/$B$23</f>
        <v>0.13360847819243818</v>
      </c>
      <c r="I24" s="32"/>
      <c r="J24" s="32">
        <f>J23/$B$23</f>
        <v>0.26767164492322759</v>
      </c>
      <c r="K24" s="32"/>
      <c r="L24" s="33">
        <f>L23/$B$23</f>
        <v>0.21867021090552971</v>
      </c>
      <c r="M24" s="32"/>
      <c r="N24" s="33">
        <f>N23/$B$23</f>
        <v>0.21569724738554091</v>
      </c>
      <c r="O24" s="32"/>
      <c r="P24" s="33">
        <f>P23/$B$23</f>
        <v>9.6358994089049008E-2</v>
      </c>
      <c r="Q24" s="32"/>
      <c r="R24" s="33">
        <f>R23/$B$23</f>
        <v>7.519848903501102E-3</v>
      </c>
      <c r="S24" s="32"/>
    </row>
  </sheetData>
  <mergeCells count="18">
    <mergeCell ref="J15:K15"/>
    <mergeCell ref="B3:C3"/>
    <mergeCell ref="D3:E3"/>
    <mergeCell ref="F3:G3"/>
    <mergeCell ref="H3:I3"/>
    <mergeCell ref="J3:K3"/>
    <mergeCell ref="B15:C15"/>
    <mergeCell ref="D15:E15"/>
    <mergeCell ref="F15:G15"/>
    <mergeCell ref="H15:I15"/>
    <mergeCell ref="L3:M3"/>
    <mergeCell ref="P15:Q15"/>
    <mergeCell ref="R15:S15"/>
    <mergeCell ref="N3:O3"/>
    <mergeCell ref="P3:Q3"/>
    <mergeCell ref="R3:S3"/>
    <mergeCell ref="L15:M15"/>
    <mergeCell ref="N15:O15"/>
  </mergeCells>
  <phoneticPr fontId="6" type="noConversion"/>
  <pageMargins left="0.15" right="0.1400000000000000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91" zoomScaleNormal="91" workbookViewId="0">
      <selection activeCell="V35" sqref="V35"/>
    </sheetView>
  </sheetViews>
  <sheetFormatPr defaultRowHeight="12.75" x14ac:dyDescent="0.2"/>
  <cols>
    <col min="1" max="1" width="21.85546875" customWidth="1"/>
    <col min="2" max="2" width="8" customWidth="1"/>
    <col min="3" max="3" width="5.85546875" customWidth="1"/>
    <col min="4" max="4" width="5.42578125" customWidth="1"/>
    <col min="5" max="5" width="6.42578125" customWidth="1"/>
    <col min="6" max="6" width="7.140625" customWidth="1"/>
    <col min="7" max="7" width="5.42578125" customWidth="1"/>
    <col min="8" max="8" width="7.140625" customWidth="1"/>
    <col min="9" max="9" width="5.42578125" customWidth="1"/>
    <col min="10" max="10" width="6.7109375" customWidth="1"/>
    <col min="11" max="11" width="6.28515625" customWidth="1"/>
    <col min="12" max="12" width="5.85546875" customWidth="1"/>
    <col min="13" max="13" width="5.42578125" customWidth="1"/>
    <col min="14" max="14" width="6.5703125" customWidth="1"/>
    <col min="15" max="15" width="5.7109375" customWidth="1"/>
    <col min="16" max="16" width="6.28515625" customWidth="1"/>
    <col min="17" max="17" width="6.5703125" customWidth="1"/>
    <col min="18" max="18" width="5.85546875" customWidth="1"/>
    <col min="19" max="19" width="6.5703125" customWidth="1"/>
  </cols>
  <sheetData>
    <row r="1" spans="1:19" x14ac:dyDescent="0.2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5.75" thickBot="1" x14ac:dyDescent="0.3">
      <c r="A5" s="39" t="s">
        <v>11</v>
      </c>
      <c r="B5" s="40">
        <f t="shared" ref="B5:B9" si="0">D5+F5+H5+J5+L5+N5+P5+R5</f>
        <v>76</v>
      </c>
      <c r="C5" s="15">
        <f>B5/$B$11</f>
        <v>4.3164650423127169E-3</v>
      </c>
      <c r="D5" s="86">
        <v>3</v>
      </c>
      <c r="E5" s="15">
        <f>D5/$D$11</f>
        <v>5.1724137931034482E-2</v>
      </c>
      <c r="F5" s="87">
        <v>12</v>
      </c>
      <c r="G5" s="15">
        <f>F5/$F$11</f>
        <v>1.5056461731493099E-2</v>
      </c>
      <c r="H5" s="87">
        <v>13</v>
      </c>
      <c r="I5" s="15">
        <f>H5/$H$11</f>
        <v>6.2230732407850646E-3</v>
      </c>
      <c r="J5" s="87">
        <v>15</v>
      </c>
      <c r="K5" s="15">
        <f>J5/$J$11</f>
        <v>3.2265003226500323E-3</v>
      </c>
      <c r="L5" s="87">
        <v>11</v>
      </c>
      <c r="M5" s="15">
        <f>L5/$L$11</f>
        <v>3.1554790590935171E-3</v>
      </c>
      <c r="N5" s="87">
        <v>15</v>
      </c>
      <c r="O5" s="15">
        <f>N5/$N$11</f>
        <v>3.5071311667056347E-3</v>
      </c>
      <c r="P5" s="87">
        <v>6</v>
      </c>
      <c r="Q5" s="15">
        <f>P5/$P$11</f>
        <v>2.8368794326241137E-3</v>
      </c>
      <c r="R5" s="87">
        <v>1</v>
      </c>
      <c r="S5" s="15">
        <f>R5/$R$11</f>
        <v>7.3529411764705881E-3</v>
      </c>
    </row>
    <row r="6" spans="1:19" ht="15.75" thickBot="1" x14ac:dyDescent="0.3">
      <c r="A6" s="42" t="s">
        <v>12</v>
      </c>
      <c r="B6" s="40">
        <f t="shared" si="0"/>
        <v>3032</v>
      </c>
      <c r="C6" s="16">
        <f>B6/$B$11</f>
        <v>0.17220423695121259</v>
      </c>
      <c r="D6" s="86">
        <v>19</v>
      </c>
      <c r="E6" s="16">
        <f>D6/$D$11</f>
        <v>0.32758620689655171</v>
      </c>
      <c r="F6" s="87">
        <v>132</v>
      </c>
      <c r="G6" s="16">
        <f>F6/$F$11</f>
        <v>0.16562107904642409</v>
      </c>
      <c r="H6" s="87">
        <v>179</v>
      </c>
      <c r="I6" s="16">
        <f>H6/$H$11</f>
        <v>8.5686931546194348E-2</v>
      </c>
      <c r="J6" s="87">
        <v>597</v>
      </c>
      <c r="K6" s="16">
        <f>J6/$J$11</f>
        <v>0.1284147128414713</v>
      </c>
      <c r="L6" s="87">
        <v>603</v>
      </c>
      <c r="M6" s="16">
        <f>L6/$L$11</f>
        <v>0.17297762478485371</v>
      </c>
      <c r="N6" s="87">
        <v>862</v>
      </c>
      <c r="O6" s="16">
        <f>N6/$N$11</f>
        <v>0.20154313771335047</v>
      </c>
      <c r="P6" s="87">
        <v>587</v>
      </c>
      <c r="Q6" s="16">
        <f>P6/$P$11</f>
        <v>0.27754137115839245</v>
      </c>
      <c r="R6" s="87">
        <v>53</v>
      </c>
      <c r="S6" s="16">
        <f>R6/$R$11</f>
        <v>0.38970588235294118</v>
      </c>
    </row>
    <row r="7" spans="1:19" ht="15.75" thickBot="1" x14ac:dyDescent="0.3">
      <c r="A7" s="43" t="s">
        <v>13</v>
      </c>
      <c r="B7" s="40">
        <f t="shared" si="0"/>
        <v>7054</v>
      </c>
      <c r="C7" s="16">
        <f>B7/$B$11</f>
        <v>0.40063611063781451</v>
      </c>
      <c r="D7" s="86">
        <v>28</v>
      </c>
      <c r="E7" s="16">
        <f>D7/$D$11</f>
        <v>0.48275862068965519</v>
      </c>
      <c r="F7" s="87">
        <v>358</v>
      </c>
      <c r="G7" s="16">
        <f>F7/$F$11</f>
        <v>0.4491844416562108</v>
      </c>
      <c r="H7" s="87">
        <v>572</v>
      </c>
      <c r="I7" s="16">
        <f>H7/$H$11</f>
        <v>0.27381522259454283</v>
      </c>
      <c r="J7" s="87">
        <v>1471</v>
      </c>
      <c r="K7" s="16">
        <f>J7/$J$11</f>
        <v>0.31641213164121318</v>
      </c>
      <c r="L7" s="87">
        <v>1559</v>
      </c>
      <c r="M7" s="16">
        <f>L7/$L$11</f>
        <v>0.44721744119334483</v>
      </c>
      <c r="N7" s="87">
        <v>2100</v>
      </c>
      <c r="O7" s="16">
        <f>N7/$N$11</f>
        <v>0.49099836333878888</v>
      </c>
      <c r="P7" s="87">
        <v>916</v>
      </c>
      <c r="Q7" s="16">
        <f>P7/$P$11</f>
        <v>0.43309692671394801</v>
      </c>
      <c r="R7" s="87">
        <v>50</v>
      </c>
      <c r="S7" s="16">
        <f>R7/$R$11</f>
        <v>0.36764705882352944</v>
      </c>
    </row>
    <row r="8" spans="1:19" ht="15.75" thickBot="1" x14ac:dyDescent="0.3">
      <c r="A8" s="42" t="s">
        <v>14</v>
      </c>
      <c r="B8" s="40">
        <f t="shared" si="0"/>
        <v>1549</v>
      </c>
      <c r="C8" s="16">
        <f>B8/$B$11</f>
        <v>8.7976373033452598E-2</v>
      </c>
      <c r="D8" s="86">
        <v>7</v>
      </c>
      <c r="E8" s="16">
        <f>D8/$D$11</f>
        <v>0.1206896551724138</v>
      </c>
      <c r="F8" s="87">
        <v>116</v>
      </c>
      <c r="G8" s="16">
        <f>F8/$F$11</f>
        <v>0.14554579673776663</v>
      </c>
      <c r="H8" s="87">
        <v>170</v>
      </c>
      <c r="I8" s="16">
        <f>H8/$H$11</f>
        <v>8.1378650071804698E-2</v>
      </c>
      <c r="J8" s="87">
        <v>365</v>
      </c>
      <c r="K8" s="16">
        <f>J8/$J$11</f>
        <v>7.8511507851150783E-2</v>
      </c>
      <c r="L8" s="87">
        <v>284</v>
      </c>
      <c r="M8" s="16">
        <f>L8/$L$11</f>
        <v>8.1468732071141706E-2</v>
      </c>
      <c r="N8" s="87">
        <v>411</v>
      </c>
      <c r="O8" s="16">
        <f>N8/$N$11</f>
        <v>9.6095393967734394E-2</v>
      </c>
      <c r="P8" s="87">
        <v>190</v>
      </c>
      <c r="Q8" s="16">
        <f>P8/$P$11</f>
        <v>8.9834515366430265E-2</v>
      </c>
      <c r="R8" s="87">
        <v>6</v>
      </c>
      <c r="S8" s="16">
        <f>R8/$R$11</f>
        <v>4.4117647058823532E-2</v>
      </c>
    </row>
    <row r="9" spans="1:19" ht="13.5" thickBot="1" x14ac:dyDescent="0.25">
      <c r="A9" s="89" t="s">
        <v>21</v>
      </c>
      <c r="B9" s="40">
        <f t="shared" si="0"/>
        <v>5896</v>
      </c>
      <c r="C9" s="17">
        <f>B9/$B$11</f>
        <v>0.3348668143352076</v>
      </c>
      <c r="D9" s="86">
        <v>1</v>
      </c>
      <c r="E9" s="17">
        <f>D9/$D$11</f>
        <v>1.7241379310344827E-2</v>
      </c>
      <c r="F9" s="88">
        <f>63+116</f>
        <v>179</v>
      </c>
      <c r="G9" s="17">
        <f>F9/$F$11</f>
        <v>0.2245922208281054</v>
      </c>
      <c r="H9" s="88">
        <f>255+900</f>
        <v>1155</v>
      </c>
      <c r="I9" s="17">
        <f>H9/$H$11</f>
        <v>0.55289612254667309</v>
      </c>
      <c r="J9" s="88">
        <f>497+1704</f>
        <v>2201</v>
      </c>
      <c r="K9" s="17">
        <f>J9/$J$11</f>
        <v>0.47343514734351472</v>
      </c>
      <c r="L9" s="88">
        <f>448+581</f>
        <v>1029</v>
      </c>
      <c r="M9" s="17">
        <f>L9/$L$11</f>
        <v>0.29518072289156627</v>
      </c>
      <c r="N9" s="88">
        <f>378+511</f>
        <v>889</v>
      </c>
      <c r="O9" s="17">
        <f>N9/$N$11</f>
        <v>0.20785597381342061</v>
      </c>
      <c r="P9" s="88">
        <f>154+262</f>
        <v>416</v>
      </c>
      <c r="Q9" s="17">
        <f>P9/$P$11</f>
        <v>0.19669030732860521</v>
      </c>
      <c r="R9" s="88">
        <v>26</v>
      </c>
      <c r="S9" s="17">
        <f>R9/$R$11</f>
        <v>0.19117647058823528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D11+F11+H11+J11+L11+N11+P11+R11</f>
        <v>17607</v>
      </c>
      <c r="C11" s="45">
        <f>B11/$B$11</f>
        <v>1</v>
      </c>
      <c r="D11" s="49">
        <f>SUM(D5:D9)</f>
        <v>58</v>
      </c>
      <c r="E11" s="45">
        <f>D11/$D$11</f>
        <v>1</v>
      </c>
      <c r="F11" s="50">
        <f>SUM(F5:F9)</f>
        <v>797</v>
      </c>
      <c r="G11" s="45">
        <f>F11/$F$11</f>
        <v>1</v>
      </c>
      <c r="H11" s="50">
        <f>SUM(H5:H9)</f>
        <v>2089</v>
      </c>
      <c r="I11" s="45">
        <f>H11/$H$11</f>
        <v>1</v>
      </c>
      <c r="J11" s="47">
        <f>SUM(J5:J9)</f>
        <v>4649</v>
      </c>
      <c r="K11" s="45">
        <f>J11/$J$11</f>
        <v>1</v>
      </c>
      <c r="L11" s="47">
        <f>SUM(L5:L9)</f>
        <v>3486</v>
      </c>
      <c r="M11" s="45">
        <f>L11/$L$11</f>
        <v>1</v>
      </c>
      <c r="N11" s="47">
        <f>SUM(N5:N9)</f>
        <v>4277</v>
      </c>
      <c r="O11" s="45">
        <f>N11/$N$11</f>
        <v>1</v>
      </c>
      <c r="P11" s="47">
        <f>SUM(P5:P9)</f>
        <v>2115</v>
      </c>
      <c r="Q11" s="45">
        <f>P11/$P$11</f>
        <v>1</v>
      </c>
      <c r="R11" s="47">
        <f>SUM(R5:R9)</f>
        <v>136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f>D11/$B$11</f>
        <v>3.2941443743965469E-3</v>
      </c>
      <c r="E12" s="52"/>
      <c r="F12" s="28">
        <f>F11/$B$11</f>
        <v>4.5266087351621513E-2</v>
      </c>
      <c r="G12" s="52"/>
      <c r="H12" s="28">
        <f>H11/$B$11</f>
        <v>0.11864599307093769</v>
      </c>
      <c r="I12" s="52"/>
      <c r="J12" s="28">
        <f>J11/$B$11</f>
        <v>0.26404271028568183</v>
      </c>
      <c r="K12" s="52"/>
      <c r="L12" s="28">
        <f>L11/$B$11</f>
        <v>0.19798943601976488</v>
      </c>
      <c r="M12" s="52"/>
      <c r="N12" s="28">
        <f>N11/$B$11</f>
        <v>0.24291474981541433</v>
      </c>
      <c r="O12" s="52"/>
      <c r="P12" s="28">
        <f>P11/$B$11</f>
        <v>0.12012267848014994</v>
      </c>
      <c r="Q12" s="52"/>
      <c r="R12" s="28">
        <f>R11/$B$11</f>
        <v>7.7242006020332822E-3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19" ht="15" x14ac:dyDescent="0.25">
      <c r="A17" s="59" t="s">
        <v>11</v>
      </c>
      <c r="B17" s="40">
        <f>D17+F17+H17+J17+L17+N17+P17+R17</f>
        <v>182</v>
      </c>
      <c r="C17" s="60">
        <f>B17/B23</f>
        <v>6.1478178624510202E-3</v>
      </c>
      <c r="D17" s="86">
        <v>4</v>
      </c>
      <c r="E17" s="60">
        <v>2.8985507246376812E-2</v>
      </c>
      <c r="F17" s="87">
        <v>19</v>
      </c>
      <c r="G17" s="60">
        <v>1.1282660332541567E-2</v>
      </c>
      <c r="H17" s="87">
        <v>20</v>
      </c>
      <c r="I17" s="60">
        <v>4.9800796812749003E-3</v>
      </c>
      <c r="J17" s="87">
        <v>48</v>
      </c>
      <c r="K17" s="60">
        <v>6.024096385542169E-3</v>
      </c>
      <c r="L17" s="87">
        <v>39</v>
      </c>
      <c r="M17" s="60">
        <v>6.0747663551401869E-3</v>
      </c>
      <c r="N17" s="87">
        <v>34</v>
      </c>
      <c r="O17" s="60">
        <v>5.3934010152284261E-3</v>
      </c>
      <c r="P17" s="87">
        <v>16</v>
      </c>
      <c r="Q17" s="60">
        <v>5.6477232615601836E-3</v>
      </c>
      <c r="R17" s="87">
        <v>2</v>
      </c>
      <c r="S17" s="60">
        <v>8.2987551867219917E-3</v>
      </c>
    </row>
    <row r="18" spans="1:19" ht="15" x14ac:dyDescent="0.25">
      <c r="A18" s="61" t="s">
        <v>12</v>
      </c>
      <c r="B18" s="62">
        <f>D18+F18+H18+J18+L18+N18+P18+R18</f>
        <v>7409</v>
      </c>
      <c r="C18" s="63">
        <f>B18/B23</f>
        <v>0.25027023375219565</v>
      </c>
      <c r="D18" s="86">
        <v>65</v>
      </c>
      <c r="E18" s="63">
        <v>0.47101449275362317</v>
      </c>
      <c r="F18" s="87">
        <v>404</v>
      </c>
      <c r="G18" s="63">
        <v>0.23990498812351543</v>
      </c>
      <c r="H18" s="87">
        <v>653</v>
      </c>
      <c r="I18" s="63">
        <v>0.16259960159362549</v>
      </c>
      <c r="J18" s="87">
        <v>1628</v>
      </c>
      <c r="K18" s="63">
        <v>0.20431726907630521</v>
      </c>
      <c r="L18" s="87">
        <v>1741</v>
      </c>
      <c r="M18" s="63">
        <v>0.27118380062305297</v>
      </c>
      <c r="N18" s="87">
        <v>1885</v>
      </c>
      <c r="O18" s="63">
        <v>0.29901649746192893</v>
      </c>
      <c r="P18" s="87">
        <v>942</v>
      </c>
      <c r="Q18" s="63">
        <v>0.33250970702435578</v>
      </c>
      <c r="R18" s="87">
        <v>91</v>
      </c>
      <c r="S18" s="63">
        <v>0.37759336099585061</v>
      </c>
    </row>
    <row r="19" spans="1:19" ht="15" x14ac:dyDescent="0.25">
      <c r="A19" s="29" t="s">
        <v>13</v>
      </c>
      <c r="B19" s="62">
        <f>D19+F19+H19+J19+L19+N19+P19+R19</f>
        <v>11510</v>
      </c>
      <c r="C19" s="63">
        <f>B19/B23</f>
        <v>0.38879881097149033</v>
      </c>
      <c r="D19" s="86">
        <v>49</v>
      </c>
      <c r="E19" s="63">
        <v>0.35507246376811596</v>
      </c>
      <c r="F19" s="87">
        <v>715</v>
      </c>
      <c r="G19" s="63">
        <v>0.42458432304038007</v>
      </c>
      <c r="H19" s="87">
        <v>1263</v>
      </c>
      <c r="I19" s="63">
        <v>0.31449203187250996</v>
      </c>
      <c r="J19" s="87">
        <v>2688</v>
      </c>
      <c r="K19" s="63">
        <v>0.33734939759036142</v>
      </c>
      <c r="L19" s="87">
        <v>2717</v>
      </c>
      <c r="M19" s="63">
        <v>0.42320872274143301</v>
      </c>
      <c r="N19" s="87">
        <v>2830</v>
      </c>
      <c r="O19" s="63">
        <v>0.44892131979695432</v>
      </c>
      <c r="P19" s="87">
        <v>1151</v>
      </c>
      <c r="Q19" s="63">
        <v>0.40628309212848568</v>
      </c>
      <c r="R19" s="87">
        <v>97</v>
      </c>
      <c r="S19" s="63">
        <v>0.40248962655601661</v>
      </c>
    </row>
    <row r="20" spans="1:19" ht="15" x14ac:dyDescent="0.25">
      <c r="A20" s="61" t="s">
        <v>14</v>
      </c>
      <c r="B20" s="62">
        <f>D20+F20+H20+J20+L20+N20+P20+R20</f>
        <v>2604</v>
      </c>
      <c r="C20" s="63">
        <f>B20/B23</f>
        <v>8.7961086339683831E-2</v>
      </c>
      <c r="D20" s="86">
        <v>17</v>
      </c>
      <c r="E20" s="63">
        <v>0.12318840579710146</v>
      </c>
      <c r="F20" s="87">
        <v>294</v>
      </c>
      <c r="G20" s="63">
        <v>0.17458432304038005</v>
      </c>
      <c r="H20" s="87">
        <v>398</v>
      </c>
      <c r="I20" s="63">
        <v>9.9103585657370513E-2</v>
      </c>
      <c r="J20" s="87">
        <v>612</v>
      </c>
      <c r="K20" s="63">
        <v>7.6807228915662648E-2</v>
      </c>
      <c r="L20" s="87">
        <v>513</v>
      </c>
      <c r="M20" s="63">
        <v>7.9906542056074767E-2</v>
      </c>
      <c r="N20" s="87">
        <v>520</v>
      </c>
      <c r="O20" s="63">
        <v>8.2487309644670048E-2</v>
      </c>
      <c r="P20" s="87">
        <v>236</v>
      </c>
      <c r="Q20" s="63">
        <v>8.3303918108012701E-2</v>
      </c>
      <c r="R20" s="87">
        <v>14</v>
      </c>
      <c r="S20" s="63">
        <v>5.8091286307053944E-2</v>
      </c>
    </row>
    <row r="21" spans="1:19" ht="13.5" thickBot="1" x14ac:dyDescent="0.25">
      <c r="A21" s="89" t="s">
        <v>21</v>
      </c>
      <c r="B21" s="64">
        <f>D21+F21+H21+J21+L21+N21+P21+R21</f>
        <v>7899</v>
      </c>
      <c r="C21" s="65">
        <f>B21/B23</f>
        <v>0.26682205107417917</v>
      </c>
      <c r="D21" s="86">
        <v>3</v>
      </c>
      <c r="E21" s="65">
        <v>2.1739130434782608E-2</v>
      </c>
      <c r="F21" s="88">
        <v>252</v>
      </c>
      <c r="G21" s="65">
        <v>0.1496437054631829</v>
      </c>
      <c r="H21" s="88">
        <v>1682</v>
      </c>
      <c r="I21" s="65">
        <v>0.41882470119521914</v>
      </c>
      <c r="J21" s="88">
        <v>2992</v>
      </c>
      <c r="K21" s="65">
        <v>0.37550200803212852</v>
      </c>
      <c r="L21" s="88">
        <v>1410</v>
      </c>
      <c r="M21" s="65">
        <v>0.21962616822429906</v>
      </c>
      <c r="N21" s="88">
        <v>1035</v>
      </c>
      <c r="O21" s="65">
        <v>0.16418147208121828</v>
      </c>
      <c r="P21" s="88">
        <v>488</v>
      </c>
      <c r="Q21" s="65">
        <v>0.17225555947758558</v>
      </c>
      <c r="R21" s="88">
        <v>37</v>
      </c>
      <c r="S21" s="65">
        <v>0.15352697095435686</v>
      </c>
    </row>
    <row r="22" spans="1:19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ht="13.5" thickBot="1" x14ac:dyDescent="0.25">
      <c r="A23" s="29" t="s">
        <v>16</v>
      </c>
      <c r="B23" s="64">
        <f>D23+F23+H23+J23+L23+N23+P23+R23</f>
        <v>29604</v>
      </c>
      <c r="C23" s="67">
        <f t="shared" ref="C23:S23" si="1">SUM(C17:C21)</f>
        <v>1</v>
      </c>
      <c r="D23" s="71">
        <f t="shared" si="1"/>
        <v>138</v>
      </c>
      <c r="E23" s="67">
        <f t="shared" si="1"/>
        <v>1</v>
      </c>
      <c r="F23" s="71">
        <f t="shared" si="1"/>
        <v>1684</v>
      </c>
      <c r="G23" s="67">
        <f t="shared" si="1"/>
        <v>1</v>
      </c>
      <c r="H23" s="50">
        <f t="shared" si="1"/>
        <v>4016</v>
      </c>
      <c r="I23" s="67">
        <f t="shared" si="1"/>
        <v>1</v>
      </c>
      <c r="J23" s="71">
        <f t="shared" si="1"/>
        <v>7968</v>
      </c>
      <c r="K23" s="67">
        <f>SUM(K17:K21)</f>
        <v>0.99999999999999989</v>
      </c>
      <c r="L23" s="50">
        <f t="shared" si="1"/>
        <v>6420</v>
      </c>
      <c r="M23" s="67">
        <f t="shared" si="1"/>
        <v>1</v>
      </c>
      <c r="N23" s="50">
        <f t="shared" si="1"/>
        <v>6304</v>
      </c>
      <c r="O23" s="67">
        <f t="shared" si="1"/>
        <v>1</v>
      </c>
      <c r="P23" s="50">
        <f t="shared" si="1"/>
        <v>2833</v>
      </c>
      <c r="Q23" s="67">
        <f t="shared" si="1"/>
        <v>1</v>
      </c>
      <c r="R23" s="50">
        <f t="shared" si="1"/>
        <v>241</v>
      </c>
      <c r="S23" s="67">
        <f t="shared" si="1"/>
        <v>1</v>
      </c>
    </row>
    <row r="24" spans="1:19" ht="13.5" thickBot="1" x14ac:dyDescent="0.25">
      <c r="A24" s="31" t="s">
        <v>17</v>
      </c>
      <c r="B24" s="32">
        <v>1</v>
      </c>
      <c r="C24" s="32"/>
      <c r="D24" s="32">
        <f>D23/$B$23</f>
        <v>4.6615322253749491E-3</v>
      </c>
      <c r="E24" s="32"/>
      <c r="F24" s="32">
        <f>F23/$B$23</f>
        <v>5.6884204837184163E-2</v>
      </c>
      <c r="G24" s="32"/>
      <c r="H24" s="32">
        <f>H23/$B$23</f>
        <v>0.13565734360221593</v>
      </c>
      <c r="I24" s="32"/>
      <c r="J24" s="32">
        <f>J23/$B$23</f>
        <v>0.26915281718686662</v>
      </c>
      <c r="K24" s="32"/>
      <c r="L24" s="33">
        <f>L23/$B$23</f>
        <v>0.21686258613700851</v>
      </c>
      <c r="M24" s="32"/>
      <c r="N24" s="33">
        <f>N23/$B$23</f>
        <v>0.21294419673017159</v>
      </c>
      <c r="O24" s="32"/>
      <c r="P24" s="33">
        <f>P23/$B$23</f>
        <v>9.5696527496284281E-2</v>
      </c>
      <c r="Q24" s="32"/>
      <c r="R24" s="33">
        <f>R23/$B$23</f>
        <v>8.1407917848939325E-3</v>
      </c>
      <c r="S24" s="32"/>
    </row>
  </sheetData>
  <mergeCells count="18">
    <mergeCell ref="P15:Q15"/>
    <mergeCell ref="J15:K15"/>
    <mergeCell ref="L15:M15"/>
    <mergeCell ref="N15:O15"/>
    <mergeCell ref="R15:S15"/>
    <mergeCell ref="N3:O3"/>
    <mergeCell ref="P3:Q3"/>
    <mergeCell ref="R3:S3"/>
    <mergeCell ref="J3:K3"/>
    <mergeCell ref="L3:M3"/>
    <mergeCell ref="B15:C15"/>
    <mergeCell ref="B3:C3"/>
    <mergeCell ref="D3:E3"/>
    <mergeCell ref="F3:G3"/>
    <mergeCell ref="H3:I3"/>
    <mergeCell ref="D15:E15"/>
    <mergeCell ref="F15:G15"/>
    <mergeCell ref="H15:I15"/>
  </mergeCells>
  <phoneticPr fontId="6" type="noConversion"/>
  <pageMargins left="0.14000000000000001" right="0.1400000000000000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L30" sqref="L30"/>
    </sheetView>
  </sheetViews>
  <sheetFormatPr defaultRowHeight="12.75" x14ac:dyDescent="0.2"/>
  <cols>
    <col min="1" max="1" width="22.5703125" customWidth="1"/>
    <col min="2" max="2" width="7.7109375" customWidth="1"/>
    <col min="3" max="3" width="6.85546875" customWidth="1"/>
    <col min="4" max="4" width="5.5703125" customWidth="1"/>
    <col min="5" max="6" width="6.140625" customWidth="1"/>
    <col min="7" max="7" width="6.42578125" customWidth="1"/>
    <col min="8" max="9" width="5.5703125" customWidth="1"/>
    <col min="10" max="10" width="7.140625" customWidth="1"/>
    <col min="11" max="11" width="5.5703125" customWidth="1"/>
    <col min="12" max="12" width="6.5703125" customWidth="1"/>
    <col min="13" max="13" width="5.85546875" customWidth="1"/>
    <col min="14" max="14" width="6.42578125" customWidth="1"/>
    <col min="15" max="15" width="6.140625" customWidth="1"/>
    <col min="16" max="16" width="6.28515625" customWidth="1"/>
    <col min="17" max="17" width="6.7109375" customWidth="1"/>
    <col min="18" max="18" width="6" customWidth="1"/>
    <col min="19" max="19" width="7" customWidth="1"/>
  </cols>
  <sheetData>
    <row r="1" spans="1:19" x14ac:dyDescent="0.2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5.75" thickBot="1" x14ac:dyDescent="0.3">
      <c r="A5" s="39" t="s">
        <v>11</v>
      </c>
      <c r="B5" s="40">
        <f>D5+F5+H5+J5+L5+N5+P5+R5</f>
        <v>73</v>
      </c>
      <c r="C5" s="15">
        <f>B5/$B$11</f>
        <v>3.850210970464135E-3</v>
      </c>
      <c r="D5" s="86">
        <v>5</v>
      </c>
      <c r="E5" s="15">
        <f>D5/$D$11</f>
        <v>8.0645161290322578E-2</v>
      </c>
      <c r="F5" s="87">
        <v>10</v>
      </c>
      <c r="G5" s="15">
        <f>F5/$F$11</f>
        <v>1.2453300124533001E-2</v>
      </c>
      <c r="H5" s="87">
        <v>11</v>
      </c>
      <c r="I5" s="15">
        <f>H5/$H$11</f>
        <v>4.8672566371681415E-3</v>
      </c>
      <c r="J5" s="87">
        <v>13</v>
      </c>
      <c r="K5" s="15">
        <f>J5/$J$11</f>
        <v>2.3406553835073822E-3</v>
      </c>
      <c r="L5" s="87">
        <v>11</v>
      </c>
      <c r="M5" s="15">
        <f>L5/$L$11</f>
        <v>2.9649595687331535E-3</v>
      </c>
      <c r="N5" s="87">
        <v>15</v>
      </c>
      <c r="O5" s="15">
        <f>N5/$N$11</f>
        <v>3.4682080924855491E-3</v>
      </c>
      <c r="P5" s="87">
        <v>8</v>
      </c>
      <c r="Q5" s="15">
        <f>P5/$P$11</f>
        <v>3.7914691943127963E-3</v>
      </c>
      <c r="R5" s="87">
        <v>0</v>
      </c>
      <c r="S5" s="15">
        <f>R5/$R$11</f>
        <v>0</v>
      </c>
    </row>
    <row r="6" spans="1:19" ht="15.75" thickBot="1" x14ac:dyDescent="0.3">
      <c r="A6" s="42" t="s">
        <v>12</v>
      </c>
      <c r="B6" s="40">
        <f>D6+F6+H6+J6+L6+N6+P6+R6</f>
        <v>2834</v>
      </c>
      <c r="C6" s="16">
        <f>B6/$B$11</f>
        <v>0.14947257383966245</v>
      </c>
      <c r="D6" s="86">
        <v>17</v>
      </c>
      <c r="E6" s="16">
        <f>D6/$D$11</f>
        <v>0.27419354838709675</v>
      </c>
      <c r="F6" s="87">
        <v>120</v>
      </c>
      <c r="G6" s="16">
        <f>F6/$F$11</f>
        <v>0.149439601494396</v>
      </c>
      <c r="H6" s="87">
        <v>173</v>
      </c>
      <c r="I6" s="16">
        <f>H6/$H$11</f>
        <v>7.6548672566371684E-2</v>
      </c>
      <c r="J6" s="87">
        <v>573</v>
      </c>
      <c r="K6" s="16">
        <f>J6/$J$11</f>
        <v>0.10316888728844076</v>
      </c>
      <c r="L6" s="87">
        <v>533</v>
      </c>
      <c r="M6" s="16">
        <f>L6/$L$11</f>
        <v>0.14366576819407009</v>
      </c>
      <c r="N6" s="87">
        <v>795</v>
      </c>
      <c r="O6" s="16">
        <f>N6/$N$11</f>
        <v>0.1838150289017341</v>
      </c>
      <c r="P6" s="87">
        <v>569</v>
      </c>
      <c r="Q6" s="16">
        <f>P6/$P$11</f>
        <v>0.26966824644549764</v>
      </c>
      <c r="R6" s="87">
        <v>54</v>
      </c>
      <c r="S6" s="16">
        <f>R6/$R$11</f>
        <v>0.39705882352941174</v>
      </c>
    </row>
    <row r="7" spans="1:19" ht="15.75" thickBot="1" x14ac:dyDescent="0.3">
      <c r="A7" s="43" t="s">
        <v>13</v>
      </c>
      <c r="B7" s="40">
        <f>D7+F7+H7+J7+L7+N7+P7+R7</f>
        <v>7281</v>
      </c>
      <c r="C7" s="16">
        <f>B7/$B$11</f>
        <v>0.38401898734177214</v>
      </c>
      <c r="D7" s="86">
        <v>32</v>
      </c>
      <c r="E7" s="16">
        <f>D7/$D$11</f>
        <v>0.5161290322580645</v>
      </c>
      <c r="F7" s="87">
        <v>344</v>
      </c>
      <c r="G7" s="16">
        <f>F7/$F$11</f>
        <v>0.42839352428393523</v>
      </c>
      <c r="H7" s="87">
        <v>578</v>
      </c>
      <c r="I7" s="16">
        <f>H7/$H$11</f>
        <v>0.25575221238938051</v>
      </c>
      <c r="J7" s="87">
        <v>1504</v>
      </c>
      <c r="K7" s="16">
        <f>J7/$J$11</f>
        <v>0.2707958228303925</v>
      </c>
      <c r="L7" s="87">
        <v>1647</v>
      </c>
      <c r="M7" s="16">
        <f>L7/$L$11</f>
        <v>0.44393530997304581</v>
      </c>
      <c r="N7" s="87">
        <v>2188</v>
      </c>
      <c r="O7" s="16">
        <f>N7/$N$11</f>
        <v>0.5058959537572254</v>
      </c>
      <c r="P7" s="87">
        <v>939</v>
      </c>
      <c r="Q7" s="16">
        <f>P7/$P$11</f>
        <v>0.44502369668246444</v>
      </c>
      <c r="R7" s="87">
        <v>49</v>
      </c>
      <c r="S7" s="16">
        <f>R7/$R$11</f>
        <v>0.36029411764705882</v>
      </c>
    </row>
    <row r="8" spans="1:19" ht="15.75" thickBot="1" x14ac:dyDescent="0.3">
      <c r="A8" s="42" t="s">
        <v>14</v>
      </c>
      <c r="B8" s="40">
        <f>D8+F8+H8+J8+L8+N8+P8+R8</f>
        <v>1541</v>
      </c>
      <c r="C8" s="16">
        <f>B8/$B$11</f>
        <v>8.1276371308016876E-2</v>
      </c>
      <c r="D8" s="86">
        <v>8</v>
      </c>
      <c r="E8" s="16">
        <f>D8/$D$11</f>
        <v>0.12903225806451613</v>
      </c>
      <c r="F8" s="87">
        <v>120</v>
      </c>
      <c r="G8" s="16">
        <f>F8/$F$11</f>
        <v>0.149439601494396</v>
      </c>
      <c r="H8" s="87">
        <v>157</v>
      </c>
      <c r="I8" s="16">
        <f>H8/$H$11</f>
        <v>6.9469026548672569E-2</v>
      </c>
      <c r="J8" s="87">
        <v>361</v>
      </c>
      <c r="K8" s="16">
        <f>J8/$J$11</f>
        <v>6.4998199495858847E-2</v>
      </c>
      <c r="L8" s="87">
        <v>293</v>
      </c>
      <c r="M8" s="16">
        <f>L8/$L$11</f>
        <v>7.8975741239892178E-2</v>
      </c>
      <c r="N8" s="87">
        <v>412</v>
      </c>
      <c r="O8" s="16">
        <f>N8/$N$11</f>
        <v>9.526011560693641E-2</v>
      </c>
      <c r="P8" s="87">
        <v>184</v>
      </c>
      <c r="Q8" s="16">
        <f>P8/$P$11</f>
        <v>8.7203791469194311E-2</v>
      </c>
      <c r="R8" s="87">
        <v>6</v>
      </c>
      <c r="S8" s="16">
        <f>R8/$R$11</f>
        <v>4.4117647058823532E-2</v>
      </c>
    </row>
    <row r="9" spans="1:19" ht="13.5" thickBot="1" x14ac:dyDescent="0.25">
      <c r="A9" s="89" t="s">
        <v>21</v>
      </c>
      <c r="B9" s="40">
        <f>D9+F9+H9+J9+L9+N9+P9+R9</f>
        <v>7231</v>
      </c>
      <c r="C9" s="17">
        <f>B9/$B$11</f>
        <v>0.38138185654008439</v>
      </c>
      <c r="D9" s="86">
        <v>0</v>
      </c>
      <c r="E9" s="17">
        <f>D9/$D$11</f>
        <v>0</v>
      </c>
      <c r="F9" s="88">
        <f>59+150</f>
        <v>209</v>
      </c>
      <c r="G9" s="17">
        <f>F9/$F$11</f>
        <v>0.26027397260273971</v>
      </c>
      <c r="H9" s="88">
        <f>261+1080</f>
        <v>1341</v>
      </c>
      <c r="I9" s="17">
        <f>H9/$H$11</f>
        <v>0.5933628318584071</v>
      </c>
      <c r="J9" s="88">
        <f>568+2535</f>
        <v>3103</v>
      </c>
      <c r="K9" s="17">
        <f>J9/$J$11</f>
        <v>0.55869643500180055</v>
      </c>
      <c r="L9" s="88">
        <f>497+729</f>
        <v>1226</v>
      </c>
      <c r="M9" s="17">
        <f>L9/$L$11</f>
        <v>0.33045822102425876</v>
      </c>
      <c r="N9" s="88">
        <f>390+525</f>
        <v>915</v>
      </c>
      <c r="O9" s="17">
        <f>N9/$N$11</f>
        <v>0.2115606936416185</v>
      </c>
      <c r="P9" s="88">
        <f>149+261</f>
        <v>410</v>
      </c>
      <c r="Q9" s="17">
        <f>P9/$P$11</f>
        <v>0.19431279620853081</v>
      </c>
      <c r="R9" s="88">
        <v>27</v>
      </c>
      <c r="S9" s="17">
        <f>R9/$R$11</f>
        <v>0.19852941176470587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>SUM(B5:B10)</f>
        <v>18960</v>
      </c>
      <c r="C11" s="45">
        <f>B11/$B$11</f>
        <v>1</v>
      </c>
      <c r="D11" s="49">
        <f>SUM(D5:D9)</f>
        <v>62</v>
      </c>
      <c r="E11" s="45">
        <f>D11/$D$11</f>
        <v>1</v>
      </c>
      <c r="F11" s="50">
        <f>SUM(F5:F9)</f>
        <v>803</v>
      </c>
      <c r="G11" s="45">
        <f>F11/$F$11</f>
        <v>1</v>
      </c>
      <c r="H11" s="50">
        <f>SUM(H5:H9)</f>
        <v>2260</v>
      </c>
      <c r="I11" s="45">
        <f>H11/$H$11</f>
        <v>1</v>
      </c>
      <c r="J11" s="47">
        <f>SUM(J5:J9)</f>
        <v>5554</v>
      </c>
      <c r="K11" s="45">
        <f>J11/$J$11</f>
        <v>1</v>
      </c>
      <c r="L11" s="47">
        <f>SUM(L5:L9)</f>
        <v>3710</v>
      </c>
      <c r="M11" s="45">
        <f>L11/$L$11</f>
        <v>1</v>
      </c>
      <c r="N11" s="47">
        <f>SUM(N5:N9)</f>
        <v>4325</v>
      </c>
      <c r="O11" s="45">
        <f>N11/$N$11</f>
        <v>1</v>
      </c>
      <c r="P11" s="47">
        <f>SUM(P5:P9)</f>
        <v>2110</v>
      </c>
      <c r="Q11" s="45">
        <f>P11/$P$11</f>
        <v>1</v>
      </c>
      <c r="R11" s="47">
        <f>SUM(R5:R9)</f>
        <v>136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f>D11/$B$11</f>
        <v>3.2700421940928268E-3</v>
      </c>
      <c r="E12" s="52"/>
      <c r="F12" s="28">
        <f>F11/$B$11</f>
        <v>4.2352320675105484E-2</v>
      </c>
      <c r="G12" s="52"/>
      <c r="H12" s="28">
        <f>H11/$B$11</f>
        <v>0.11919831223628692</v>
      </c>
      <c r="I12" s="52"/>
      <c r="J12" s="28">
        <f>J11/$B$11</f>
        <v>0.29293248945147682</v>
      </c>
      <c r="K12" s="52"/>
      <c r="L12" s="28">
        <f>L11/$B$11</f>
        <v>0.19567510548523206</v>
      </c>
      <c r="M12" s="52"/>
      <c r="N12" s="28">
        <f>N11/$B$11</f>
        <v>0.22811181434599156</v>
      </c>
      <c r="O12" s="52"/>
      <c r="P12" s="28">
        <f>P11/$B$11</f>
        <v>0.11128691983122363</v>
      </c>
      <c r="Q12" s="52"/>
      <c r="R12" s="28">
        <f>R11/$B$11</f>
        <v>7.1729957805907177E-3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21" ht="15" x14ac:dyDescent="0.25">
      <c r="A17" s="59" t="s">
        <v>11</v>
      </c>
      <c r="B17" s="40">
        <f>D17+F17+H17+J17+L17+N17+P17+R17</f>
        <v>183</v>
      </c>
      <c r="C17" s="60">
        <f>B17/B23</f>
        <v>5.8732909686115926E-3</v>
      </c>
      <c r="D17" s="86">
        <v>5</v>
      </c>
      <c r="E17" s="60">
        <v>4.1322314049586778E-2</v>
      </c>
      <c r="F17" s="87">
        <v>20</v>
      </c>
      <c r="G17" s="60">
        <v>1.1415525114155251E-2</v>
      </c>
      <c r="H17" s="87">
        <v>20</v>
      </c>
      <c r="I17" s="60">
        <v>4.7675804529201428E-3</v>
      </c>
      <c r="J17" s="87">
        <v>51</v>
      </c>
      <c r="K17" s="60">
        <v>5.8587018954623779E-3</v>
      </c>
      <c r="L17" s="87">
        <v>40</v>
      </c>
      <c r="M17" s="60">
        <v>5.9916117435590173E-3</v>
      </c>
      <c r="N17" s="87">
        <v>29</v>
      </c>
      <c r="O17" s="60">
        <v>4.4444444444444444E-3</v>
      </c>
      <c r="P17" s="87">
        <v>16</v>
      </c>
      <c r="Q17" s="60">
        <v>5.4813292223364167E-3</v>
      </c>
      <c r="R17" s="87">
        <v>2</v>
      </c>
      <c r="S17" s="60">
        <v>7.5471698113207548E-3</v>
      </c>
      <c r="T17" s="22"/>
      <c r="U17" s="22"/>
    </row>
    <row r="18" spans="1:21" ht="15" x14ac:dyDescent="0.25">
      <c r="A18" s="61" t="s">
        <v>12</v>
      </c>
      <c r="B18" s="62">
        <f>D18+F18+H18+J18+L18+N18+P18+R18</f>
        <v>7247</v>
      </c>
      <c r="C18" s="63">
        <f>B18/B23</f>
        <v>0.23258874125425252</v>
      </c>
      <c r="D18" s="86">
        <v>58</v>
      </c>
      <c r="E18" s="63">
        <v>0.47933884297520662</v>
      </c>
      <c r="F18" s="87">
        <v>404</v>
      </c>
      <c r="G18" s="63">
        <v>0.23059360730593606</v>
      </c>
      <c r="H18" s="87">
        <v>636</v>
      </c>
      <c r="I18" s="63">
        <v>0.15160905840286054</v>
      </c>
      <c r="J18" s="87">
        <v>1578</v>
      </c>
      <c r="K18" s="63">
        <v>0.18127512923607123</v>
      </c>
      <c r="L18" s="87">
        <v>1687</v>
      </c>
      <c r="M18" s="63">
        <v>0.25269622528460156</v>
      </c>
      <c r="N18" s="87">
        <v>1841</v>
      </c>
      <c r="O18" s="63">
        <v>0.28214559386973181</v>
      </c>
      <c r="P18" s="87">
        <v>946</v>
      </c>
      <c r="Q18" s="63">
        <v>0.32408359027064065</v>
      </c>
      <c r="R18" s="87">
        <v>97</v>
      </c>
      <c r="S18" s="63">
        <v>0.36603773584905658</v>
      </c>
      <c r="T18" s="22"/>
      <c r="U18" s="22"/>
    </row>
    <row r="19" spans="1:21" ht="15" x14ac:dyDescent="0.25">
      <c r="A19" s="29" t="s">
        <v>13</v>
      </c>
      <c r="B19" s="62">
        <f>D19+F19+H19+J19+L19+N19+P19+R19</f>
        <v>11927</v>
      </c>
      <c r="C19" s="63">
        <f>B19/B23</f>
        <v>0.38279093651710638</v>
      </c>
      <c r="D19" s="86">
        <v>42</v>
      </c>
      <c r="E19" s="63">
        <v>0.34710743801652894</v>
      </c>
      <c r="F19" s="87">
        <v>734</v>
      </c>
      <c r="G19" s="63">
        <v>0.41894977168949771</v>
      </c>
      <c r="H19" s="87">
        <v>1298</v>
      </c>
      <c r="I19" s="63">
        <v>0.30941597139451726</v>
      </c>
      <c r="J19" s="87">
        <v>2723</v>
      </c>
      <c r="K19" s="63">
        <v>0.3128087306145893</v>
      </c>
      <c r="L19" s="87">
        <v>2799</v>
      </c>
      <c r="M19" s="63">
        <v>0.41926303175554225</v>
      </c>
      <c r="N19" s="87">
        <v>3016</v>
      </c>
      <c r="O19" s="63">
        <v>0.4622222222222222</v>
      </c>
      <c r="P19" s="87">
        <v>1209</v>
      </c>
      <c r="Q19" s="63">
        <v>0.41418293936279549</v>
      </c>
      <c r="R19" s="87">
        <v>106</v>
      </c>
      <c r="S19" s="63">
        <v>0.4</v>
      </c>
      <c r="T19" s="22"/>
      <c r="U19" s="22"/>
    </row>
    <row r="20" spans="1:21" ht="15" x14ac:dyDescent="0.25">
      <c r="A20" s="61" t="s">
        <v>14</v>
      </c>
      <c r="B20" s="62">
        <f>D20+F20+H20+J20+L20+N20+P20+R20</f>
        <v>2590</v>
      </c>
      <c r="C20" s="63">
        <f>B20/B23</f>
        <v>8.3124719173246042E-2</v>
      </c>
      <c r="D20" s="86">
        <v>15</v>
      </c>
      <c r="E20" s="63">
        <v>0.12396694214876033</v>
      </c>
      <c r="F20" s="87">
        <v>296</v>
      </c>
      <c r="G20" s="63">
        <v>0.16894977168949771</v>
      </c>
      <c r="H20" s="87">
        <v>373</v>
      </c>
      <c r="I20" s="63">
        <v>8.8915375446960668E-2</v>
      </c>
      <c r="J20" s="87">
        <v>602</v>
      </c>
      <c r="K20" s="63">
        <v>6.9155657668006895E-2</v>
      </c>
      <c r="L20" s="87">
        <v>521</v>
      </c>
      <c r="M20" s="63">
        <v>7.8040742959856205E-2</v>
      </c>
      <c r="N20" s="87">
        <v>530</v>
      </c>
      <c r="O20" s="63">
        <v>8.1226053639846738E-2</v>
      </c>
      <c r="P20" s="87">
        <v>236</v>
      </c>
      <c r="Q20" s="63">
        <v>8.0849606029462145E-2</v>
      </c>
      <c r="R20" s="87">
        <v>17</v>
      </c>
      <c r="S20" s="63">
        <v>6.4150943396226415E-2</v>
      </c>
      <c r="T20" s="22"/>
      <c r="U20" s="22"/>
    </row>
    <row r="21" spans="1:21" ht="13.5" thickBot="1" x14ac:dyDescent="0.25">
      <c r="A21" s="89" t="s">
        <v>21</v>
      </c>
      <c r="B21" s="64">
        <f>D21+F21+H21+J21+L21+N21+P21+R21</f>
        <v>9211</v>
      </c>
      <c r="C21" s="65">
        <f>B21/B23</f>
        <v>0.29562231208678347</v>
      </c>
      <c r="D21" s="86">
        <v>1</v>
      </c>
      <c r="E21" s="65">
        <v>8.2644628099173556E-3</v>
      </c>
      <c r="F21" s="88">
        <v>298</v>
      </c>
      <c r="G21" s="65">
        <v>0.17009132420091325</v>
      </c>
      <c r="H21" s="88">
        <v>1868</v>
      </c>
      <c r="I21" s="65">
        <v>0.44529201430274135</v>
      </c>
      <c r="J21" s="88">
        <v>3751</v>
      </c>
      <c r="K21" s="65">
        <v>0.4309017805858702</v>
      </c>
      <c r="L21" s="88">
        <v>1629</v>
      </c>
      <c r="M21" s="65">
        <v>0.24400838825644097</v>
      </c>
      <c r="N21" s="88">
        <v>1109</v>
      </c>
      <c r="O21" s="65">
        <v>0.16996168582375479</v>
      </c>
      <c r="P21" s="88">
        <v>512</v>
      </c>
      <c r="Q21" s="65">
        <v>0.17540253511476533</v>
      </c>
      <c r="R21" s="88">
        <v>43</v>
      </c>
      <c r="S21" s="65">
        <v>0.16226415094339622</v>
      </c>
      <c r="T21" s="22"/>
      <c r="U21" s="22"/>
    </row>
    <row r="22" spans="1:21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  <c r="T22" s="22"/>
      <c r="U22" s="22"/>
    </row>
    <row r="23" spans="1:21" ht="13.5" thickBot="1" x14ac:dyDescent="0.25">
      <c r="A23" s="29" t="s">
        <v>16</v>
      </c>
      <c r="B23" s="64">
        <f>D23+F23+H23+J23+L23+N23+P23+R23</f>
        <v>31158</v>
      </c>
      <c r="C23" s="67">
        <f t="shared" ref="C23:S23" si="0">SUM(C17:C21)</f>
        <v>1</v>
      </c>
      <c r="D23" s="71">
        <f t="shared" si="0"/>
        <v>121</v>
      </c>
      <c r="E23" s="67">
        <f t="shared" si="0"/>
        <v>1</v>
      </c>
      <c r="F23" s="71">
        <f t="shared" si="0"/>
        <v>1752</v>
      </c>
      <c r="G23" s="67">
        <f t="shared" si="0"/>
        <v>1</v>
      </c>
      <c r="H23" s="50">
        <f t="shared" si="0"/>
        <v>4195</v>
      </c>
      <c r="I23" s="67">
        <f t="shared" si="0"/>
        <v>1</v>
      </c>
      <c r="J23" s="71">
        <f t="shared" si="0"/>
        <v>8705</v>
      </c>
      <c r="K23" s="67">
        <f>SUM(K17:K21)</f>
        <v>1</v>
      </c>
      <c r="L23" s="50">
        <f t="shared" si="0"/>
        <v>6676</v>
      </c>
      <c r="M23" s="67">
        <f t="shared" si="0"/>
        <v>1</v>
      </c>
      <c r="N23" s="50">
        <f t="shared" si="0"/>
        <v>6525</v>
      </c>
      <c r="O23" s="67">
        <f t="shared" si="0"/>
        <v>1</v>
      </c>
      <c r="P23" s="50">
        <f t="shared" si="0"/>
        <v>2919</v>
      </c>
      <c r="Q23" s="67">
        <f t="shared" si="0"/>
        <v>1</v>
      </c>
      <c r="R23" s="50">
        <f t="shared" si="0"/>
        <v>265</v>
      </c>
      <c r="S23" s="67">
        <f t="shared" si="0"/>
        <v>1</v>
      </c>
      <c r="T23" s="22"/>
      <c r="U23" s="22"/>
    </row>
    <row r="24" spans="1:21" ht="13.5" thickBot="1" x14ac:dyDescent="0.25">
      <c r="A24" s="31" t="s">
        <v>17</v>
      </c>
      <c r="B24" s="32">
        <v>1</v>
      </c>
      <c r="C24" s="32"/>
      <c r="D24" s="32">
        <f>D23/$B$23</f>
        <v>3.883432826240452E-3</v>
      </c>
      <c r="E24" s="32"/>
      <c r="F24" s="32">
        <f>F23/$B$23</f>
        <v>5.6229539765068358E-2</v>
      </c>
      <c r="G24" s="32"/>
      <c r="H24" s="32">
        <f>H23/$B$23</f>
        <v>0.13463636947172475</v>
      </c>
      <c r="I24" s="32"/>
      <c r="J24" s="32">
        <f>J23/$B$23</f>
        <v>0.27938250208614163</v>
      </c>
      <c r="K24" s="32"/>
      <c r="L24" s="33">
        <f>L23/$B$23</f>
        <v>0.21426278965273765</v>
      </c>
      <c r="M24" s="32"/>
      <c r="N24" s="33">
        <f>N23/$B$23</f>
        <v>0.20941652224147891</v>
      </c>
      <c r="O24" s="32"/>
      <c r="P24" s="33">
        <f>P23/$B$23</f>
        <v>9.3683805122279987E-2</v>
      </c>
      <c r="Q24" s="32"/>
      <c r="R24" s="33">
        <f>R23/$B$23</f>
        <v>8.5050388343282622E-3</v>
      </c>
      <c r="S24" s="32"/>
      <c r="T24" s="22"/>
      <c r="U24" s="22"/>
    </row>
  </sheetData>
  <mergeCells count="18">
    <mergeCell ref="R3:S3"/>
    <mergeCell ref="D15:E15"/>
    <mergeCell ref="F15:G15"/>
    <mergeCell ref="H15:I15"/>
    <mergeCell ref="J15:K15"/>
    <mergeCell ref="L15:M15"/>
    <mergeCell ref="N15:O15"/>
    <mergeCell ref="P15:Q15"/>
    <mergeCell ref="R15:S15"/>
    <mergeCell ref="L3:M3"/>
    <mergeCell ref="N3:O3"/>
    <mergeCell ref="D3:E3"/>
    <mergeCell ref="F3:G3"/>
    <mergeCell ref="H3:I3"/>
    <mergeCell ref="J3:K3"/>
    <mergeCell ref="B3:C3"/>
    <mergeCell ref="B15:C15"/>
    <mergeCell ref="P3:Q3"/>
  </mergeCells>
  <phoneticPr fontId="6" type="noConversion"/>
  <pageMargins left="0.2" right="0.57999999999999996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J28" sqref="J28"/>
    </sheetView>
  </sheetViews>
  <sheetFormatPr defaultRowHeight="12.75" x14ac:dyDescent="0.2"/>
  <cols>
    <col min="1" max="1" width="22.140625" customWidth="1"/>
    <col min="2" max="2" width="7.28515625" customWidth="1"/>
    <col min="3" max="3" width="6.7109375" customWidth="1"/>
    <col min="4" max="4" width="6.140625" customWidth="1"/>
    <col min="5" max="5" width="6.7109375" customWidth="1"/>
    <col min="6" max="6" width="7" customWidth="1"/>
    <col min="7" max="7" width="6.5703125" customWidth="1"/>
    <col min="8" max="8" width="6.42578125" customWidth="1"/>
    <col min="9" max="9" width="6.5703125" customWidth="1"/>
    <col min="10" max="10" width="7.5703125" customWidth="1"/>
    <col min="11" max="11" width="6.28515625" customWidth="1"/>
    <col min="12" max="12" width="7.42578125" customWidth="1"/>
    <col min="13" max="13" width="7.140625" customWidth="1"/>
    <col min="14" max="17" width="6.42578125" customWidth="1"/>
    <col min="18" max="18" width="5.5703125" customWidth="1"/>
    <col min="19" max="19" width="6.5703125" customWidth="1"/>
  </cols>
  <sheetData>
    <row r="1" spans="1:19" x14ac:dyDescent="0.2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3.5" thickBot="1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ht="13.5" thickBot="1" x14ac:dyDescent="0.25">
      <c r="A4" s="35"/>
      <c r="B4" s="36" t="s">
        <v>19</v>
      </c>
      <c r="C4" s="37" t="s">
        <v>10</v>
      </c>
      <c r="D4" s="37" t="s">
        <v>19</v>
      </c>
      <c r="E4" s="38" t="s">
        <v>10</v>
      </c>
      <c r="F4" s="37" t="s">
        <v>19</v>
      </c>
      <c r="G4" s="38" t="s">
        <v>10</v>
      </c>
      <c r="H4" s="37" t="s">
        <v>19</v>
      </c>
      <c r="I4" s="38" t="s">
        <v>10</v>
      </c>
      <c r="J4" s="37" t="s">
        <v>19</v>
      </c>
      <c r="K4" s="38" t="s">
        <v>10</v>
      </c>
      <c r="L4" s="37" t="s">
        <v>19</v>
      </c>
      <c r="M4" s="38" t="s">
        <v>10</v>
      </c>
      <c r="N4" s="37" t="s">
        <v>19</v>
      </c>
      <c r="O4" s="38" t="s">
        <v>10</v>
      </c>
      <c r="P4" s="37" t="s">
        <v>19</v>
      </c>
      <c r="Q4" s="38" t="s">
        <v>10</v>
      </c>
      <c r="R4" s="37" t="s">
        <v>19</v>
      </c>
      <c r="S4" s="38" t="s">
        <v>10</v>
      </c>
    </row>
    <row r="5" spans="1:19" ht="15.75" thickBot="1" x14ac:dyDescent="0.3">
      <c r="A5" s="39" t="s">
        <v>11</v>
      </c>
      <c r="B5" s="40">
        <f t="shared" ref="B5:B11" si="0">D5+F5+H5+J5+L5+N5+P5+R5</f>
        <v>75</v>
      </c>
      <c r="C5" s="15">
        <f>B5/$B$11</f>
        <v>3.6439607423962685E-3</v>
      </c>
      <c r="D5" s="86">
        <v>3</v>
      </c>
      <c r="E5" s="15">
        <f>D5/$D$11</f>
        <v>4.2253521126760563E-2</v>
      </c>
      <c r="F5" s="87">
        <v>11</v>
      </c>
      <c r="G5" s="15">
        <f>F5/$F$11</f>
        <v>1.2702078521939953E-2</v>
      </c>
      <c r="H5" s="87">
        <v>12</v>
      </c>
      <c r="I5" s="15">
        <f>H5/$H$11</f>
        <v>4.6367851622874804E-3</v>
      </c>
      <c r="J5" s="87">
        <v>13</v>
      </c>
      <c r="K5" s="15">
        <f>J5/$J$11</f>
        <v>2.0971124374899179E-3</v>
      </c>
      <c r="L5" s="87">
        <v>13</v>
      </c>
      <c r="M5" s="15">
        <f>L5/$L$11</f>
        <v>3.1964593066142119E-3</v>
      </c>
      <c r="N5" s="87">
        <v>17</v>
      </c>
      <c r="O5" s="15">
        <f>N5/$N$11</f>
        <v>3.7577365163572059E-3</v>
      </c>
      <c r="P5" s="87">
        <v>6</v>
      </c>
      <c r="Q5" s="15">
        <f>P5/$P$11</f>
        <v>2.8142589118198874E-3</v>
      </c>
      <c r="R5" s="87">
        <v>0</v>
      </c>
      <c r="S5" s="15">
        <f>R5/$R$11</f>
        <v>0</v>
      </c>
    </row>
    <row r="6" spans="1:19" ht="15.75" thickBot="1" x14ac:dyDescent="0.3">
      <c r="A6" s="42" t="s">
        <v>12</v>
      </c>
      <c r="B6" s="40">
        <f t="shared" si="0"/>
        <v>2826</v>
      </c>
      <c r="C6" s="16">
        <f>B6/$B$11</f>
        <v>0.13730444077349141</v>
      </c>
      <c r="D6" s="86">
        <v>15</v>
      </c>
      <c r="E6" s="16">
        <f>D6/$D$11</f>
        <v>0.21126760563380281</v>
      </c>
      <c r="F6" s="87">
        <v>118</v>
      </c>
      <c r="G6" s="16">
        <f>F6/$F$11</f>
        <v>0.13625866050808313</v>
      </c>
      <c r="H6" s="87">
        <v>154</v>
      </c>
      <c r="I6" s="16">
        <f>H6/$H$11</f>
        <v>5.9505409582689336E-2</v>
      </c>
      <c r="J6" s="87">
        <v>574</v>
      </c>
      <c r="K6" s="16">
        <f>J6/$J$11</f>
        <v>9.2595579932247138E-2</v>
      </c>
      <c r="L6" s="87">
        <v>555</v>
      </c>
      <c r="M6" s="16">
        <f>L6/$L$11</f>
        <v>0.13646422424391444</v>
      </c>
      <c r="N6" s="87">
        <v>808</v>
      </c>
      <c r="O6" s="16">
        <f>N6/$N$11</f>
        <v>0.1786030061892131</v>
      </c>
      <c r="P6" s="87">
        <v>554</v>
      </c>
      <c r="Q6" s="16">
        <f>P6/$P$11</f>
        <v>0.25984990619136961</v>
      </c>
      <c r="R6" s="87">
        <v>48</v>
      </c>
      <c r="S6" s="16">
        <f>R6/$R$11</f>
        <v>0.35555555555555557</v>
      </c>
    </row>
    <row r="7" spans="1:19" ht="15.75" thickBot="1" x14ac:dyDescent="0.3">
      <c r="A7" s="43" t="s">
        <v>13</v>
      </c>
      <c r="B7" s="40">
        <f t="shared" si="0"/>
        <v>7717</v>
      </c>
      <c r="C7" s="16">
        <f>B7/$B$11</f>
        <v>0.37493926732096006</v>
      </c>
      <c r="D7" s="86">
        <v>43</v>
      </c>
      <c r="E7" s="16">
        <f>D7/$D$11</f>
        <v>0.60563380281690138</v>
      </c>
      <c r="F7" s="87">
        <v>340</v>
      </c>
      <c r="G7" s="16">
        <f>F7/$F$11</f>
        <v>0.39260969976905313</v>
      </c>
      <c r="H7" s="87">
        <v>608</v>
      </c>
      <c r="I7" s="16">
        <f>H7/$H$11</f>
        <v>0.23493044822256567</v>
      </c>
      <c r="J7" s="87">
        <v>1563</v>
      </c>
      <c r="K7" s="16">
        <f>J7/$J$11</f>
        <v>0.25213744152282624</v>
      </c>
      <c r="L7" s="87">
        <v>1803</v>
      </c>
      <c r="M7" s="16">
        <f>L7/$L$11</f>
        <v>0.44332431767887875</v>
      </c>
      <c r="N7" s="87">
        <v>2338</v>
      </c>
      <c r="O7" s="16">
        <f>N7/$N$11</f>
        <v>0.5167992926613616</v>
      </c>
      <c r="P7" s="87">
        <v>971</v>
      </c>
      <c r="Q7" s="16">
        <f>P7/$P$11</f>
        <v>0.4554409005628518</v>
      </c>
      <c r="R7" s="87">
        <v>51</v>
      </c>
      <c r="S7" s="16">
        <f>R7/$R$11</f>
        <v>0.37777777777777777</v>
      </c>
    </row>
    <row r="8" spans="1:19" ht="15.75" thickBot="1" x14ac:dyDescent="0.3">
      <c r="A8" s="42" t="s">
        <v>14</v>
      </c>
      <c r="B8" s="40">
        <f t="shared" si="0"/>
        <v>1553</v>
      </c>
      <c r="C8" s="16">
        <f>B8/$B$11</f>
        <v>7.5454280439218729E-2</v>
      </c>
      <c r="D8" s="86">
        <v>9</v>
      </c>
      <c r="E8" s="16">
        <f>D8/$D$11</f>
        <v>0.12676056338028169</v>
      </c>
      <c r="F8" s="87">
        <v>114</v>
      </c>
      <c r="G8" s="16">
        <f>F8/$F$11</f>
        <v>0.13163972286374134</v>
      </c>
      <c r="H8" s="87">
        <v>156</v>
      </c>
      <c r="I8" s="16">
        <f>H8/$H$11</f>
        <v>6.0278207109737247E-2</v>
      </c>
      <c r="J8" s="87">
        <v>363</v>
      </c>
      <c r="K8" s="16">
        <f>J8/$J$11</f>
        <v>5.8557831908372319E-2</v>
      </c>
      <c r="L8" s="87">
        <v>311</v>
      </c>
      <c r="M8" s="16">
        <f>L8/$L$11</f>
        <v>7.6469141873616919E-2</v>
      </c>
      <c r="N8" s="87">
        <v>406</v>
      </c>
      <c r="O8" s="16">
        <f>N8/$N$11</f>
        <v>8.9743589743589744E-2</v>
      </c>
      <c r="P8" s="87">
        <v>189</v>
      </c>
      <c r="Q8" s="16">
        <f>P8/$P$11</f>
        <v>8.8649155722326456E-2</v>
      </c>
      <c r="R8" s="87">
        <v>5</v>
      </c>
      <c r="S8" s="16">
        <f>R8/$R$11</f>
        <v>3.7037037037037035E-2</v>
      </c>
    </row>
    <row r="9" spans="1:19" ht="13.5" thickBot="1" x14ac:dyDescent="0.25">
      <c r="A9" s="89" t="s">
        <v>21</v>
      </c>
      <c r="B9" s="40">
        <f t="shared" si="0"/>
        <v>8411</v>
      </c>
      <c r="C9" s="17">
        <f>B9/$B$11</f>
        <v>0.40865805072393352</v>
      </c>
      <c r="D9" s="86">
        <v>1</v>
      </c>
      <c r="E9" s="17">
        <f>D9/$D$11</f>
        <v>1.4084507042253521E-2</v>
      </c>
      <c r="F9" s="88">
        <f>59+224</f>
        <v>283</v>
      </c>
      <c r="G9" s="17">
        <f>F9/$F$11</f>
        <v>0.32678983833718245</v>
      </c>
      <c r="H9" s="88">
        <f>286+1372</f>
        <v>1658</v>
      </c>
      <c r="I9" s="17">
        <f>H9/$H$11</f>
        <v>0.64064914992272026</v>
      </c>
      <c r="J9" s="88">
        <f>629+3057</f>
        <v>3686</v>
      </c>
      <c r="K9" s="17">
        <f>J9/$J$11</f>
        <v>0.59461203419906439</v>
      </c>
      <c r="L9" s="88">
        <f>552+833</f>
        <v>1385</v>
      </c>
      <c r="M9" s="17">
        <f>L9/$L$11</f>
        <v>0.34054585689697564</v>
      </c>
      <c r="N9" s="88">
        <f>399+556</f>
        <v>955</v>
      </c>
      <c r="O9" s="17">
        <f>N9/$N$11</f>
        <v>0.21109637488947833</v>
      </c>
      <c r="P9" s="88">
        <f>150+262</f>
        <v>412</v>
      </c>
      <c r="Q9" s="17">
        <f>P9/$P$11</f>
        <v>0.19324577861163228</v>
      </c>
      <c r="R9" s="88">
        <f>9+22</f>
        <v>31</v>
      </c>
      <c r="S9" s="17">
        <f>R9/$R$11</f>
        <v>0.22962962962962963</v>
      </c>
    </row>
    <row r="10" spans="1:19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x14ac:dyDescent="0.2">
      <c r="A11" s="43" t="s">
        <v>16</v>
      </c>
      <c r="B11" s="48">
        <f t="shared" si="0"/>
        <v>20582</v>
      </c>
      <c r="C11" s="45">
        <f>B11/$B$11</f>
        <v>1</v>
      </c>
      <c r="D11" s="49">
        <f>SUM(D5:D9)</f>
        <v>71</v>
      </c>
      <c r="E11" s="45">
        <f>D11/$D$11</f>
        <v>1</v>
      </c>
      <c r="F11" s="50">
        <f>SUM(F5:F9)</f>
        <v>866</v>
      </c>
      <c r="G11" s="45">
        <f>F11/$F$11</f>
        <v>1</v>
      </c>
      <c r="H11" s="50">
        <f>SUM(H5:H9)</f>
        <v>2588</v>
      </c>
      <c r="I11" s="45">
        <f>H11/$H$11</f>
        <v>1</v>
      </c>
      <c r="J11" s="84">
        <f>SUM(J5:J9)</f>
        <v>6199</v>
      </c>
      <c r="K11" s="45">
        <f>J11/$J$11</f>
        <v>1</v>
      </c>
      <c r="L11" s="47">
        <f>SUM(L5:L9)</f>
        <v>4067</v>
      </c>
      <c r="M11" s="45">
        <f>L11/$L$11</f>
        <v>1</v>
      </c>
      <c r="N11" s="47">
        <f>SUM(N5:N9)</f>
        <v>4524</v>
      </c>
      <c r="O11" s="45">
        <f>N11/$N$11</f>
        <v>1</v>
      </c>
      <c r="P11" s="47">
        <f>SUM(P5:P9)</f>
        <v>2132</v>
      </c>
      <c r="Q11" s="45">
        <f>P11/$P$11</f>
        <v>1</v>
      </c>
      <c r="R11" s="47">
        <f>SUM(R5:R9)</f>
        <v>135</v>
      </c>
      <c r="S11" s="45">
        <f>R11/$R$11</f>
        <v>1</v>
      </c>
    </row>
    <row r="12" spans="1:19" ht="13.5" thickBot="1" x14ac:dyDescent="0.25">
      <c r="A12" s="51" t="s">
        <v>17</v>
      </c>
      <c r="B12" s="52">
        <v>1</v>
      </c>
      <c r="C12" s="52"/>
      <c r="D12" s="27">
        <v>8.3237337891568508E-3</v>
      </c>
      <c r="E12" s="52"/>
      <c r="F12" s="28">
        <v>0.110864420098923</v>
      </c>
      <c r="G12" s="52"/>
      <c r="H12" s="28">
        <v>0.18</v>
      </c>
      <c r="I12" s="52"/>
      <c r="J12" s="28">
        <v>0.23</v>
      </c>
      <c r="K12" s="52"/>
      <c r="L12" s="28">
        <v>0.21</v>
      </c>
      <c r="M12" s="52"/>
      <c r="N12" s="28">
        <v>0.18</v>
      </c>
      <c r="O12" s="52"/>
      <c r="P12" s="28">
        <v>0.08</v>
      </c>
      <c r="Q12" s="52"/>
      <c r="R12" s="28">
        <v>2.6810890768732953E-3</v>
      </c>
      <c r="S12" s="52"/>
    </row>
    <row r="13" spans="1:19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ht="13.5" thickBot="1" x14ac:dyDescent="0.25">
      <c r="A16" s="55"/>
      <c r="B16" s="30" t="s">
        <v>19</v>
      </c>
      <c r="C16" s="56" t="s">
        <v>10</v>
      </c>
      <c r="D16" s="30" t="s">
        <v>19</v>
      </c>
      <c r="E16" s="30" t="s">
        <v>10</v>
      </c>
      <c r="F16" s="30" t="s">
        <v>19</v>
      </c>
      <c r="G16" s="30" t="s">
        <v>10</v>
      </c>
      <c r="H16" s="30" t="s">
        <v>19</v>
      </c>
      <c r="I16" s="30" t="s">
        <v>10</v>
      </c>
      <c r="J16" s="30" t="s">
        <v>19</v>
      </c>
      <c r="K16" s="56" t="s">
        <v>10</v>
      </c>
      <c r="L16" s="57" t="s">
        <v>19</v>
      </c>
      <c r="M16" s="30" t="s">
        <v>10</v>
      </c>
      <c r="N16" s="55" t="s">
        <v>19</v>
      </c>
      <c r="O16" s="56" t="s">
        <v>10</v>
      </c>
      <c r="P16" s="58" t="s">
        <v>19</v>
      </c>
      <c r="Q16" s="56" t="s">
        <v>10</v>
      </c>
      <c r="R16" s="58" t="s">
        <v>19</v>
      </c>
      <c r="S16" s="56" t="s">
        <v>10</v>
      </c>
    </row>
    <row r="17" spans="1:20" ht="15" x14ac:dyDescent="0.25">
      <c r="A17" s="59" t="s">
        <v>11</v>
      </c>
      <c r="B17" s="40">
        <f>D17+F17+H17+J17+L17+N17+P17+R17</f>
        <v>192</v>
      </c>
      <c r="C17" s="60">
        <f>B17/B23</f>
        <v>5.9418809766966854E-3</v>
      </c>
      <c r="D17" s="86">
        <v>4</v>
      </c>
      <c r="E17" s="60">
        <v>3.3898305084745763E-2</v>
      </c>
      <c r="F17" s="87">
        <v>23</v>
      </c>
      <c r="G17" s="60">
        <v>1.2728278915329275E-2</v>
      </c>
      <c r="H17" s="87">
        <v>24</v>
      </c>
      <c r="I17" s="60">
        <v>5.4607508532423209E-3</v>
      </c>
      <c r="J17" s="87">
        <v>53</v>
      </c>
      <c r="K17" s="60">
        <v>5.6551429790866409E-3</v>
      </c>
      <c r="L17" s="87">
        <v>43</v>
      </c>
      <c r="M17" s="60">
        <v>6.2718786464410732E-3</v>
      </c>
      <c r="N17" s="87">
        <v>28</v>
      </c>
      <c r="O17" s="60">
        <v>4.2741566173103342E-3</v>
      </c>
      <c r="P17" s="87">
        <v>15</v>
      </c>
      <c r="Q17" s="60">
        <v>5.0916496945010185E-3</v>
      </c>
      <c r="R17" s="87">
        <v>2</v>
      </c>
      <c r="S17" s="60">
        <v>7.462686567164179E-3</v>
      </c>
      <c r="T17" s="22"/>
    </row>
    <row r="18" spans="1:20" ht="15" x14ac:dyDescent="0.25">
      <c r="A18" s="61" t="s">
        <v>12</v>
      </c>
      <c r="B18" s="62">
        <f>D18+F18+H18+J18+L18+N18+P18+R18</f>
        <v>7056</v>
      </c>
      <c r="C18" s="63">
        <f>B18/B23</f>
        <v>0.21836412589360318</v>
      </c>
      <c r="D18" s="86">
        <v>57</v>
      </c>
      <c r="E18" s="63">
        <v>0.48305084745762711</v>
      </c>
      <c r="F18" s="87">
        <v>383</v>
      </c>
      <c r="G18" s="63">
        <v>0.21195351411178751</v>
      </c>
      <c r="H18" s="87">
        <v>630</v>
      </c>
      <c r="I18" s="63">
        <v>0.14334470989761092</v>
      </c>
      <c r="J18" s="87">
        <v>1535</v>
      </c>
      <c r="K18" s="63">
        <v>0.16378574477166027</v>
      </c>
      <c r="L18" s="87">
        <v>1626</v>
      </c>
      <c r="M18" s="63">
        <v>0.23716452742123686</v>
      </c>
      <c r="N18" s="87">
        <v>1792</v>
      </c>
      <c r="O18" s="63">
        <v>0.27354602350786139</v>
      </c>
      <c r="P18" s="87">
        <v>943</v>
      </c>
      <c r="Q18" s="63">
        <v>0.32009504412763068</v>
      </c>
      <c r="R18" s="87">
        <v>90</v>
      </c>
      <c r="S18" s="63">
        <v>0.33582089552238809</v>
      </c>
      <c r="T18" s="22"/>
    </row>
    <row r="19" spans="1:20" ht="15" x14ac:dyDescent="0.25">
      <c r="A19" s="29" t="s">
        <v>13</v>
      </c>
      <c r="B19" s="62">
        <f>D19+F19+H19+J19+L19+N19+P19+R19</f>
        <v>12085</v>
      </c>
      <c r="C19" s="63">
        <f>B19/B23</f>
        <v>0.37399808126760126</v>
      </c>
      <c r="D19" s="86">
        <v>44</v>
      </c>
      <c r="E19" s="63">
        <v>0.3728813559322034</v>
      </c>
      <c r="F19" s="87">
        <v>750</v>
      </c>
      <c r="G19" s="63">
        <v>0.41505257332595463</v>
      </c>
      <c r="H19" s="87">
        <v>1270</v>
      </c>
      <c r="I19" s="63">
        <v>0.28896473265073946</v>
      </c>
      <c r="J19" s="87">
        <v>2745</v>
      </c>
      <c r="K19" s="63">
        <v>0.29289372599231756</v>
      </c>
      <c r="L19" s="87">
        <v>2852</v>
      </c>
      <c r="M19" s="63">
        <v>0.4159859976662777</v>
      </c>
      <c r="N19" s="87">
        <v>3073</v>
      </c>
      <c r="O19" s="63">
        <v>0.46908868874980919</v>
      </c>
      <c r="P19" s="87">
        <v>1244</v>
      </c>
      <c r="Q19" s="63">
        <v>0.42226748133061781</v>
      </c>
      <c r="R19" s="87">
        <v>107</v>
      </c>
      <c r="S19" s="63">
        <v>0.39925373134328357</v>
      </c>
      <c r="T19" s="22"/>
    </row>
    <row r="20" spans="1:20" ht="15" x14ac:dyDescent="0.25">
      <c r="A20" s="61" t="s">
        <v>14</v>
      </c>
      <c r="B20" s="62">
        <f>D20+F20+H20+J20+L20+N20+P20+R20</f>
        <v>2490</v>
      </c>
      <c r="C20" s="63">
        <f>B20/B23</f>
        <v>7.7058768916535139E-2</v>
      </c>
      <c r="D20" s="86">
        <v>11</v>
      </c>
      <c r="E20" s="63">
        <v>9.3220338983050849E-2</v>
      </c>
      <c r="F20" s="87">
        <v>274</v>
      </c>
      <c r="G20" s="63">
        <v>0.15163254012174876</v>
      </c>
      <c r="H20" s="87">
        <v>338</v>
      </c>
      <c r="I20" s="63">
        <v>7.6905574516496017E-2</v>
      </c>
      <c r="J20" s="87">
        <v>591</v>
      </c>
      <c r="K20" s="63">
        <v>6.3060179257362362E-2</v>
      </c>
      <c r="L20" s="87">
        <v>520</v>
      </c>
      <c r="M20" s="63">
        <v>7.5845974329054849E-2</v>
      </c>
      <c r="N20" s="87">
        <v>507</v>
      </c>
      <c r="O20" s="63">
        <v>7.7392764463440691E-2</v>
      </c>
      <c r="P20" s="87">
        <v>230</v>
      </c>
      <c r="Q20" s="63">
        <v>7.8071961982348947E-2</v>
      </c>
      <c r="R20" s="87">
        <v>19</v>
      </c>
      <c r="S20" s="63">
        <v>7.0895522388059698E-2</v>
      </c>
      <c r="T20" s="22"/>
    </row>
    <row r="21" spans="1:20" ht="13.5" thickBot="1" x14ac:dyDescent="0.25">
      <c r="A21" s="89" t="s">
        <v>21</v>
      </c>
      <c r="B21" s="64">
        <f>D21+F21+H21+J21+L21+N21+P21+R21</f>
        <v>10490</v>
      </c>
      <c r="C21" s="65">
        <f>B21/B23</f>
        <v>0.32463714294556373</v>
      </c>
      <c r="D21" s="86">
        <v>2</v>
      </c>
      <c r="E21" s="65">
        <v>1.6949152542372881E-2</v>
      </c>
      <c r="F21" s="88">
        <v>377</v>
      </c>
      <c r="G21" s="65">
        <v>0.20863309352517986</v>
      </c>
      <c r="H21" s="88">
        <v>2133</v>
      </c>
      <c r="I21" s="65">
        <v>0.48532423208191128</v>
      </c>
      <c r="J21" s="88">
        <v>4448</v>
      </c>
      <c r="K21" s="65">
        <v>0.4746052069995732</v>
      </c>
      <c r="L21" s="88">
        <v>1815</v>
      </c>
      <c r="M21" s="65">
        <v>0.26473162193698951</v>
      </c>
      <c r="N21" s="88">
        <v>1151</v>
      </c>
      <c r="O21" s="65">
        <v>0.1756983666615784</v>
      </c>
      <c r="P21" s="88">
        <v>514</v>
      </c>
      <c r="Q21" s="65">
        <v>0.17447386286490157</v>
      </c>
      <c r="R21" s="88">
        <v>50</v>
      </c>
      <c r="S21" s="65">
        <v>0.18656716417910449</v>
      </c>
      <c r="T21" s="22"/>
    </row>
    <row r="22" spans="1:20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  <c r="T22" s="22"/>
    </row>
    <row r="23" spans="1:20" ht="13.5" thickBot="1" x14ac:dyDescent="0.25">
      <c r="A23" s="29" t="s">
        <v>16</v>
      </c>
      <c r="B23" s="64">
        <f>D23+F23+H23+J23+L23+N23+P23+R23</f>
        <v>32313</v>
      </c>
      <c r="C23" s="67">
        <f t="shared" ref="C23:S23" si="1">SUM(C17:C21)</f>
        <v>1</v>
      </c>
      <c r="D23" s="71">
        <f t="shared" si="1"/>
        <v>118</v>
      </c>
      <c r="E23" s="67">
        <f t="shared" si="1"/>
        <v>0.99999999999999989</v>
      </c>
      <c r="F23" s="71">
        <f t="shared" si="1"/>
        <v>1807</v>
      </c>
      <c r="G23" s="67">
        <f t="shared" si="1"/>
        <v>1</v>
      </c>
      <c r="H23" s="50">
        <f t="shared" si="1"/>
        <v>4395</v>
      </c>
      <c r="I23" s="67">
        <f t="shared" si="1"/>
        <v>1</v>
      </c>
      <c r="J23" s="71">
        <f>SUM(J17:J21)</f>
        <v>9372</v>
      </c>
      <c r="K23" s="67">
        <f>SUM(K17:K21)</f>
        <v>1</v>
      </c>
      <c r="L23" s="50">
        <f t="shared" si="1"/>
        <v>6856</v>
      </c>
      <c r="M23" s="67">
        <f t="shared" si="1"/>
        <v>1</v>
      </c>
      <c r="N23" s="50">
        <f t="shared" si="1"/>
        <v>6551</v>
      </c>
      <c r="O23" s="67">
        <f t="shared" si="1"/>
        <v>1</v>
      </c>
      <c r="P23" s="50">
        <f t="shared" si="1"/>
        <v>2946</v>
      </c>
      <c r="Q23" s="67">
        <f t="shared" si="1"/>
        <v>1</v>
      </c>
      <c r="R23" s="50">
        <f t="shared" si="1"/>
        <v>268</v>
      </c>
      <c r="S23" s="67">
        <f t="shared" si="1"/>
        <v>1.0000000000000002</v>
      </c>
      <c r="T23" s="22"/>
    </row>
    <row r="24" spans="1:20" ht="13.5" thickBot="1" x14ac:dyDescent="0.25">
      <c r="A24" s="31" t="s">
        <v>17</v>
      </c>
      <c r="B24" s="32">
        <v>1</v>
      </c>
      <c r="C24" s="32"/>
      <c r="D24" s="32">
        <f>D23/$B$23</f>
        <v>3.6517810169281713E-3</v>
      </c>
      <c r="E24" s="32"/>
      <c r="F24" s="32">
        <f>F23/$B$23</f>
        <v>5.5921765233806826E-2</v>
      </c>
      <c r="G24" s="32"/>
      <c r="H24" s="32">
        <f>H23/$B$23</f>
        <v>0.13601336923219756</v>
      </c>
      <c r="I24" s="32"/>
      <c r="J24" s="32">
        <f>J23/$B$23</f>
        <v>0.29003806517500696</v>
      </c>
      <c r="K24" s="32"/>
      <c r="L24" s="33">
        <f>L23/$B$23</f>
        <v>0.21217466654287748</v>
      </c>
      <c r="M24" s="32"/>
      <c r="N24" s="33">
        <f>N23/$B$23</f>
        <v>0.20273574103302078</v>
      </c>
      <c r="O24" s="32"/>
      <c r="P24" s="33">
        <f>P23/$B$23</f>
        <v>9.1170736236189764E-2</v>
      </c>
      <c r="Q24" s="32"/>
      <c r="R24" s="33">
        <f>R23/$B$23</f>
        <v>8.2938755299724574E-3</v>
      </c>
      <c r="S24" s="32"/>
      <c r="T24" s="22"/>
    </row>
    <row r="25" spans="1:20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x14ac:dyDescent="0.2">
      <c r="J26" s="10"/>
    </row>
    <row r="27" spans="1:20" x14ac:dyDescent="0.2">
      <c r="C27" s="23"/>
      <c r="E27" s="23"/>
    </row>
    <row r="28" spans="1:20" x14ac:dyDescent="0.2">
      <c r="C28" s="23"/>
      <c r="E28" s="23"/>
    </row>
    <row r="29" spans="1:20" x14ac:dyDescent="0.2">
      <c r="C29" s="23"/>
      <c r="E29" s="23"/>
    </row>
    <row r="30" spans="1:20" x14ac:dyDescent="0.2">
      <c r="C30" s="23"/>
      <c r="E30" s="23"/>
    </row>
    <row r="31" spans="1:20" x14ac:dyDescent="0.2">
      <c r="C31" s="23"/>
      <c r="E31" s="23"/>
    </row>
    <row r="32" spans="1:20" x14ac:dyDescent="0.2">
      <c r="C32" s="23"/>
    </row>
  </sheetData>
  <mergeCells count="18">
    <mergeCell ref="P15:Q15"/>
    <mergeCell ref="J15:K15"/>
    <mergeCell ref="L15:M15"/>
    <mergeCell ref="N15:O15"/>
    <mergeCell ref="R15:S15"/>
    <mergeCell ref="N3:O3"/>
    <mergeCell ref="P3:Q3"/>
    <mergeCell ref="R3:S3"/>
    <mergeCell ref="J3:K3"/>
    <mergeCell ref="L3:M3"/>
    <mergeCell ref="B15:C15"/>
    <mergeCell ref="B3:C3"/>
    <mergeCell ref="D3:E3"/>
    <mergeCell ref="F3:G3"/>
    <mergeCell ref="H3:I3"/>
    <mergeCell ref="D15:E15"/>
    <mergeCell ref="F15:G15"/>
    <mergeCell ref="H15:I15"/>
  </mergeCells>
  <phoneticPr fontId="6" type="noConversion"/>
  <pageMargins left="0.21" right="0.1400000000000000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I25" sqref="I25"/>
    </sheetView>
  </sheetViews>
  <sheetFormatPr defaultRowHeight="12.75" x14ac:dyDescent="0.2"/>
  <cols>
    <col min="1" max="1" width="20.85546875" customWidth="1"/>
    <col min="2" max="2" width="8.42578125" customWidth="1"/>
    <col min="3" max="3" width="5.85546875" customWidth="1"/>
    <col min="4" max="4" width="7.85546875" customWidth="1"/>
    <col min="5" max="5" width="6" customWidth="1"/>
    <col min="6" max="6" width="7.42578125" customWidth="1"/>
    <col min="7" max="7" width="5.7109375" customWidth="1"/>
    <col min="8" max="8" width="7.28515625" customWidth="1"/>
    <col min="9" max="9" width="6" customWidth="1"/>
    <col min="10" max="10" width="7.7109375" customWidth="1"/>
    <col min="11" max="11" width="6.140625" customWidth="1"/>
    <col min="12" max="12" width="7.7109375" customWidth="1"/>
    <col min="13" max="13" width="5.5703125" customWidth="1"/>
    <col min="14" max="14" width="7.7109375" customWidth="1"/>
    <col min="15" max="15" width="5.7109375" customWidth="1"/>
    <col min="16" max="16" width="7.5703125" customWidth="1"/>
    <col min="17" max="17" width="5.5703125" customWidth="1"/>
    <col min="18" max="18" width="7.42578125" customWidth="1"/>
    <col min="19" max="19" width="5.7109375" customWidth="1"/>
  </cols>
  <sheetData>
    <row r="1" spans="1:19" x14ac:dyDescent="0.2">
      <c r="A1" s="1" t="s">
        <v>28</v>
      </c>
    </row>
    <row r="2" spans="1:19" s="9" customFormat="1" ht="13.5" thickBot="1" x14ac:dyDescent="0.25">
      <c r="A2" s="83" t="s">
        <v>20</v>
      </c>
    </row>
    <row r="3" spans="1:19" s="9" customFormat="1" ht="13.5" thickBot="1" x14ac:dyDescent="0.25">
      <c r="A3" s="34">
        <v>2019</v>
      </c>
      <c r="B3" s="92" t="s">
        <v>0</v>
      </c>
      <c r="C3" s="93"/>
      <c r="D3" s="94" t="s">
        <v>1</v>
      </c>
      <c r="E3" s="95"/>
      <c r="F3" s="92" t="s">
        <v>2</v>
      </c>
      <c r="G3" s="93"/>
      <c r="H3" s="94" t="s">
        <v>3</v>
      </c>
      <c r="I3" s="95"/>
      <c r="J3" s="94" t="s">
        <v>4</v>
      </c>
      <c r="K3" s="95"/>
      <c r="L3" s="94" t="s">
        <v>5</v>
      </c>
      <c r="M3" s="95"/>
      <c r="N3" s="94" t="s">
        <v>6</v>
      </c>
      <c r="O3" s="95"/>
      <c r="P3" s="94" t="s">
        <v>7</v>
      </c>
      <c r="Q3" s="95"/>
      <c r="R3" s="94" t="s">
        <v>8</v>
      </c>
      <c r="S3" s="95"/>
    </row>
    <row r="4" spans="1:19" s="9" customFormat="1" ht="13.5" thickBot="1" x14ac:dyDescent="0.25">
      <c r="A4" s="35"/>
      <c r="B4" s="36" t="s">
        <v>9</v>
      </c>
      <c r="C4" s="37" t="s">
        <v>10</v>
      </c>
      <c r="D4" s="37" t="s">
        <v>9</v>
      </c>
      <c r="E4" s="38" t="s">
        <v>10</v>
      </c>
      <c r="F4" s="37" t="s">
        <v>9</v>
      </c>
      <c r="G4" s="38" t="s">
        <v>10</v>
      </c>
      <c r="H4" s="37" t="s">
        <v>9</v>
      </c>
      <c r="I4" s="38" t="s">
        <v>10</v>
      </c>
      <c r="J4" s="37" t="s">
        <v>9</v>
      </c>
      <c r="K4" s="38" t="s">
        <v>10</v>
      </c>
      <c r="L4" s="37" t="s">
        <v>9</v>
      </c>
      <c r="M4" s="38" t="s">
        <v>10</v>
      </c>
      <c r="N4" s="37" t="s">
        <v>9</v>
      </c>
      <c r="O4" s="38" t="s">
        <v>10</v>
      </c>
      <c r="P4" s="37" t="s">
        <v>9</v>
      </c>
      <c r="Q4" s="38" t="s">
        <v>10</v>
      </c>
      <c r="R4" s="37" t="s">
        <v>9</v>
      </c>
      <c r="S4" s="38" t="s">
        <v>10</v>
      </c>
    </row>
    <row r="5" spans="1:19" s="9" customFormat="1" ht="15.75" thickBot="1" x14ac:dyDescent="0.3">
      <c r="A5" s="39" t="s">
        <v>11</v>
      </c>
      <c r="B5" s="40">
        <f>D5+F5+H5+J5+L5+N5+P5+R5</f>
        <v>79</v>
      </c>
      <c r="C5" s="15">
        <f>B5/$B$11</f>
        <v>3.9732434743248004E-3</v>
      </c>
      <c r="D5" s="86">
        <v>5</v>
      </c>
      <c r="E5" s="15">
        <f>D5/$D$11</f>
        <v>9.8039215686274508E-2</v>
      </c>
      <c r="F5" s="87">
        <v>11</v>
      </c>
      <c r="G5" s="15">
        <f>F5/$F$11</f>
        <v>1.2235817575083427E-2</v>
      </c>
      <c r="H5" s="87">
        <v>11</v>
      </c>
      <c r="I5" s="15">
        <f>H5/$H$11</f>
        <v>4.3512658227848099E-3</v>
      </c>
      <c r="J5" s="87">
        <v>15</v>
      </c>
      <c r="K5" s="15">
        <f>J5/$J$11</f>
        <v>2.5159342502515934E-3</v>
      </c>
      <c r="L5" s="87">
        <v>15</v>
      </c>
      <c r="M5" s="15">
        <f>L5/$L$11</f>
        <v>3.8510911424903724E-3</v>
      </c>
      <c r="N5" s="87">
        <v>15</v>
      </c>
      <c r="O5" s="15">
        <f>N5/$N$11</f>
        <v>3.4435261707988982E-3</v>
      </c>
      <c r="P5" s="87">
        <v>7</v>
      </c>
      <c r="Q5" s="15">
        <f>P5/$P$11</f>
        <v>3.3947623666343357E-3</v>
      </c>
      <c r="R5" s="87">
        <v>0</v>
      </c>
      <c r="S5" s="15">
        <f>R5/$R$11</f>
        <v>0</v>
      </c>
    </row>
    <row r="6" spans="1:19" s="9" customFormat="1" ht="15.75" thickBot="1" x14ac:dyDescent="0.3">
      <c r="A6" s="42" t="s">
        <v>12</v>
      </c>
      <c r="B6" s="40">
        <f>D6+F6+H6+J6+L6+N6+P6+R6</f>
        <v>2676</v>
      </c>
      <c r="C6" s="16">
        <f>B6/$B$11</f>
        <v>0.13458733591510336</v>
      </c>
      <c r="D6" s="86">
        <v>13</v>
      </c>
      <c r="E6" s="16">
        <f>D6/$D$11</f>
        <v>0.25490196078431371</v>
      </c>
      <c r="F6" s="87">
        <v>115</v>
      </c>
      <c r="G6" s="16">
        <f>F6/$F$11</f>
        <v>0.12791991101223582</v>
      </c>
      <c r="H6" s="87">
        <v>153</v>
      </c>
      <c r="I6" s="16">
        <f>H6/$H$11</f>
        <v>6.0522151898734181E-2</v>
      </c>
      <c r="J6" s="87">
        <v>538</v>
      </c>
      <c r="K6" s="16">
        <f>J6/$J$11</f>
        <v>9.0238175109023822E-2</v>
      </c>
      <c r="L6" s="87">
        <v>504</v>
      </c>
      <c r="M6" s="16">
        <f>L6/$L$11</f>
        <v>0.1293966623876765</v>
      </c>
      <c r="N6" s="87">
        <v>770</v>
      </c>
      <c r="O6" s="16">
        <f>N6/$N$11</f>
        <v>0.17676767676767677</v>
      </c>
      <c r="P6" s="87">
        <v>535</v>
      </c>
      <c r="Q6" s="16">
        <f>P6/$P$11</f>
        <v>0.25945683802133851</v>
      </c>
      <c r="R6" s="87">
        <v>48</v>
      </c>
      <c r="S6" s="16">
        <f>R6/$R$11</f>
        <v>0.36923076923076925</v>
      </c>
    </row>
    <row r="7" spans="1:19" s="9" customFormat="1" ht="15.75" thickBot="1" x14ac:dyDescent="0.3">
      <c r="A7" s="43" t="s">
        <v>13</v>
      </c>
      <c r="B7" s="40">
        <f>D7+F7+H7+J7+L7+N7+P7+R7</f>
        <v>7406</v>
      </c>
      <c r="C7" s="16">
        <f>B7/$B$11</f>
        <v>0.37247900216265151</v>
      </c>
      <c r="D7" s="86">
        <v>28</v>
      </c>
      <c r="E7" s="16">
        <f>D7/$D$11</f>
        <v>0.5490196078431373</v>
      </c>
      <c r="F7" s="87">
        <v>354</v>
      </c>
      <c r="G7" s="16">
        <f>F7/$F$11</f>
        <v>0.39377085650723026</v>
      </c>
      <c r="H7" s="87">
        <v>593</v>
      </c>
      <c r="I7" s="16">
        <f>H7/$H$11</f>
        <v>0.23457278481012658</v>
      </c>
      <c r="J7" s="87">
        <v>1465</v>
      </c>
      <c r="K7" s="16">
        <f>J7/$J$11</f>
        <v>0.24572291177457228</v>
      </c>
      <c r="L7" s="87">
        <v>1700</v>
      </c>
      <c r="M7" s="16">
        <f>L7/$L$11</f>
        <v>0.43645699614890887</v>
      </c>
      <c r="N7" s="87">
        <v>2275</v>
      </c>
      <c r="O7" s="16">
        <f>N7/$N$11</f>
        <v>0.5222681359044995</v>
      </c>
      <c r="P7" s="87">
        <v>942</v>
      </c>
      <c r="Q7" s="16">
        <f>P7/$P$11</f>
        <v>0.45683802133850632</v>
      </c>
      <c r="R7" s="87">
        <v>49</v>
      </c>
      <c r="S7" s="16">
        <f>R7/$R$11</f>
        <v>0.37692307692307692</v>
      </c>
    </row>
    <row r="8" spans="1:19" s="9" customFormat="1" ht="15.75" thickBot="1" x14ac:dyDescent="0.3">
      <c r="A8" s="42" t="s">
        <v>14</v>
      </c>
      <c r="B8" s="40">
        <f>D8+F8+H8+J8+L8+N8+P8+R8</f>
        <v>1512</v>
      </c>
      <c r="C8" s="16">
        <f>B8/$B$11</f>
        <v>7.6044862445305034E-2</v>
      </c>
      <c r="D8" s="86">
        <v>4</v>
      </c>
      <c r="E8" s="16">
        <f>D8/$D$11</f>
        <v>7.8431372549019607E-2</v>
      </c>
      <c r="F8" s="87">
        <v>111</v>
      </c>
      <c r="G8" s="16">
        <f>F8/$F$11</f>
        <v>0.12347052280311457</v>
      </c>
      <c r="H8" s="87">
        <v>154</v>
      </c>
      <c r="I8" s="16">
        <f>H8/$H$11</f>
        <v>6.091772151898734E-2</v>
      </c>
      <c r="J8" s="87">
        <v>363</v>
      </c>
      <c r="K8" s="16">
        <f>J8/$J$11</f>
        <v>6.0885608856088562E-2</v>
      </c>
      <c r="L8" s="87">
        <v>302</v>
      </c>
      <c r="M8" s="16">
        <f>L8/$L$11</f>
        <v>7.7535301668806164E-2</v>
      </c>
      <c r="N8" s="87">
        <v>387</v>
      </c>
      <c r="O8" s="16">
        <f>N8/$N$11</f>
        <v>8.8842975206611566E-2</v>
      </c>
      <c r="P8" s="87">
        <v>185</v>
      </c>
      <c r="Q8" s="16">
        <f>P8/$P$11</f>
        <v>8.9718719689621723E-2</v>
      </c>
      <c r="R8" s="87">
        <v>6</v>
      </c>
      <c r="S8" s="16">
        <f>R8/$R$11</f>
        <v>4.6153846153846156E-2</v>
      </c>
    </row>
    <row r="9" spans="1:19" s="9" customFormat="1" ht="13.5" thickBot="1" x14ac:dyDescent="0.25">
      <c r="A9" s="89" t="s">
        <v>21</v>
      </c>
      <c r="B9" s="40">
        <f>D9+F9+H9+J9+L9+N9+P9+R9</f>
        <v>8210</v>
      </c>
      <c r="C9" s="17">
        <f>B9/$B$11</f>
        <v>0.41291555600261531</v>
      </c>
      <c r="D9" s="86">
        <v>1</v>
      </c>
      <c r="E9" s="17">
        <f>D9/$D$11</f>
        <v>1.9607843137254902E-2</v>
      </c>
      <c r="F9" s="88">
        <f>64+244</f>
        <v>308</v>
      </c>
      <c r="G9" s="17">
        <f>F9/$F$11</f>
        <v>0.34260289210233591</v>
      </c>
      <c r="H9" s="88">
        <f>280+1337</f>
        <v>1617</v>
      </c>
      <c r="I9" s="17">
        <f>H9/$H$11</f>
        <v>0.63963607594936711</v>
      </c>
      <c r="J9" s="88">
        <f>587+2994</f>
        <v>3581</v>
      </c>
      <c r="K9" s="17">
        <f>J9/$J$11</f>
        <v>0.60063737001006379</v>
      </c>
      <c r="L9" s="88">
        <f>547+827</f>
        <v>1374</v>
      </c>
      <c r="M9" s="17">
        <f>L9/$L$11</f>
        <v>0.35275994865211813</v>
      </c>
      <c r="N9" s="88">
        <f>377+532</f>
        <v>909</v>
      </c>
      <c r="O9" s="17">
        <f>N9/$N$11</f>
        <v>0.20867768595041322</v>
      </c>
      <c r="P9" s="88">
        <f>142+251</f>
        <v>393</v>
      </c>
      <c r="Q9" s="17">
        <f>P9/$P$11</f>
        <v>0.19059165858389912</v>
      </c>
      <c r="R9" s="88">
        <v>27</v>
      </c>
      <c r="S9" s="17">
        <f>R9/$R$11</f>
        <v>0.2076923076923077</v>
      </c>
    </row>
    <row r="10" spans="1:19" s="9" customFormat="1" x14ac:dyDescent="0.2">
      <c r="A10" s="39"/>
      <c r="B10" s="44"/>
      <c r="C10" s="45"/>
      <c r="D10" s="24"/>
      <c r="E10" s="46"/>
      <c r="F10" s="25"/>
      <c r="G10" s="46"/>
      <c r="H10" s="25"/>
      <c r="I10" s="45"/>
      <c r="J10" s="25"/>
      <c r="K10" s="45"/>
      <c r="L10" s="26"/>
      <c r="M10" s="45"/>
      <c r="N10" s="25"/>
      <c r="O10" s="45"/>
      <c r="P10" s="47"/>
      <c r="Q10" s="45"/>
      <c r="R10" s="25"/>
      <c r="S10" s="45"/>
    </row>
    <row r="11" spans="1:19" s="9" customFormat="1" x14ac:dyDescent="0.2">
      <c r="A11" s="43" t="s">
        <v>16</v>
      </c>
      <c r="B11" s="48">
        <f>SUM(B5:B9)</f>
        <v>19883</v>
      </c>
      <c r="C11" s="45">
        <f>B11/$B$11</f>
        <v>1</v>
      </c>
      <c r="D11" s="49">
        <f>SUM(D5:D9)</f>
        <v>51</v>
      </c>
      <c r="E11" s="45">
        <f>D11/$D$11</f>
        <v>1</v>
      </c>
      <c r="F11" s="50">
        <f>SUM(F5:F9)</f>
        <v>899</v>
      </c>
      <c r="G11" s="45">
        <f>F11/$F$11</f>
        <v>1</v>
      </c>
      <c r="H11" s="50">
        <f>SUM(H5:H9)</f>
        <v>2528</v>
      </c>
      <c r="I11" s="45">
        <f>H11/$H$11</f>
        <v>1</v>
      </c>
      <c r="J11" s="47">
        <f>SUM(J5:J9)</f>
        <v>5962</v>
      </c>
      <c r="K11" s="45">
        <f>J11/$J$11</f>
        <v>1</v>
      </c>
      <c r="L11" s="47">
        <f>SUM(L5:L9)</f>
        <v>3895</v>
      </c>
      <c r="M11" s="45">
        <f>L11/$L$11</f>
        <v>1</v>
      </c>
      <c r="N11" s="47">
        <f>SUM(N5:N9)</f>
        <v>4356</v>
      </c>
      <c r="O11" s="45">
        <f>N11/$N$11</f>
        <v>1</v>
      </c>
      <c r="P11" s="47">
        <f>SUM(P5:P9)</f>
        <v>2062</v>
      </c>
      <c r="Q11" s="45">
        <f>P11/$P$11</f>
        <v>1</v>
      </c>
      <c r="R11" s="47">
        <f>SUM(R5:R9)</f>
        <v>130</v>
      </c>
      <c r="S11" s="45">
        <f>R11/$R$11</f>
        <v>1</v>
      </c>
    </row>
    <row r="12" spans="1:19" s="9" customFormat="1" ht="13.5" thickBot="1" x14ac:dyDescent="0.25">
      <c r="A12" s="51" t="s">
        <v>17</v>
      </c>
      <c r="B12" s="52">
        <f>B11/$B$11</f>
        <v>1</v>
      </c>
      <c r="C12" s="52"/>
      <c r="D12" s="27">
        <f>D11/$B$11</f>
        <v>2.5650052808932253E-3</v>
      </c>
      <c r="E12" s="52"/>
      <c r="F12" s="28">
        <f>F11/$B$11</f>
        <v>4.5214504853392345E-2</v>
      </c>
      <c r="G12" s="52"/>
      <c r="H12" s="28">
        <f>H11/$B$11</f>
        <v>0.12714379117839361</v>
      </c>
      <c r="I12" s="52"/>
      <c r="J12" s="28">
        <f>J11/$B$11</f>
        <v>0.29985414675853744</v>
      </c>
      <c r="K12" s="52"/>
      <c r="L12" s="28">
        <f>L11/$B$11</f>
        <v>0.19589599155057083</v>
      </c>
      <c r="M12" s="52"/>
      <c r="N12" s="28">
        <f>N11/$B$11</f>
        <v>0.21908162752099783</v>
      </c>
      <c r="O12" s="52"/>
      <c r="P12" s="28">
        <f>P11/$B$11</f>
        <v>0.10370668410199668</v>
      </c>
      <c r="Q12" s="52"/>
      <c r="R12" s="28">
        <f>R11/$B$11</f>
        <v>6.5382487552180252E-3</v>
      </c>
      <c r="S12" s="52"/>
    </row>
    <row r="13" spans="1:19" s="9" customFormat="1" ht="13.5" thickBot="1" x14ac:dyDescent="0.25">
      <c r="A13" s="43"/>
      <c r="B13" s="27"/>
      <c r="C13" s="53"/>
      <c r="D13" s="27"/>
      <c r="E13" s="53"/>
      <c r="F13" s="28"/>
      <c r="G13" s="53"/>
      <c r="H13" s="28"/>
      <c r="I13" s="53"/>
      <c r="J13" s="28"/>
      <c r="K13" s="53"/>
      <c r="L13" s="28"/>
      <c r="M13" s="53"/>
      <c r="N13" s="28"/>
      <c r="O13" s="53"/>
      <c r="P13" s="28"/>
      <c r="Q13" s="53"/>
      <c r="R13" s="28"/>
      <c r="S13" s="53"/>
    </row>
    <row r="14" spans="1:19" s="9" customFormat="1" ht="13.5" thickBot="1" x14ac:dyDescent="0.25">
      <c r="A14" s="43"/>
      <c r="B14" s="27"/>
      <c r="C14" s="53"/>
      <c r="D14" s="27"/>
      <c r="E14" s="53"/>
      <c r="F14" s="28"/>
      <c r="G14" s="53"/>
      <c r="H14" s="28"/>
      <c r="I14" s="53"/>
      <c r="J14" s="28"/>
      <c r="K14" s="53"/>
      <c r="L14" s="28"/>
      <c r="M14" s="53"/>
      <c r="N14" s="28"/>
      <c r="O14" s="53"/>
      <c r="P14" s="28"/>
      <c r="Q14" s="53"/>
      <c r="R14" s="28"/>
      <c r="S14" s="53"/>
    </row>
    <row r="15" spans="1:19" s="9" customFormat="1" ht="13.5" thickBot="1" x14ac:dyDescent="0.25">
      <c r="A15" s="54">
        <v>2020</v>
      </c>
      <c r="B15" s="90" t="s">
        <v>0</v>
      </c>
      <c r="C15" s="91"/>
      <c r="D15" s="90" t="s">
        <v>1</v>
      </c>
      <c r="E15" s="91"/>
      <c r="F15" s="90" t="s">
        <v>2</v>
      </c>
      <c r="G15" s="91"/>
      <c r="H15" s="90" t="s">
        <v>3</v>
      </c>
      <c r="I15" s="91"/>
      <c r="J15" s="90" t="s">
        <v>4</v>
      </c>
      <c r="K15" s="91"/>
      <c r="L15" s="90" t="s">
        <v>5</v>
      </c>
      <c r="M15" s="91"/>
      <c r="N15" s="90" t="s">
        <v>6</v>
      </c>
      <c r="O15" s="91"/>
      <c r="P15" s="90" t="s">
        <v>7</v>
      </c>
      <c r="Q15" s="91"/>
      <c r="R15" s="90" t="s">
        <v>8</v>
      </c>
      <c r="S15" s="91"/>
    </row>
    <row r="16" spans="1:19" s="9" customFormat="1" ht="13.5" thickBot="1" x14ac:dyDescent="0.25">
      <c r="A16" s="55"/>
      <c r="B16" s="30" t="s">
        <v>18</v>
      </c>
      <c r="C16" s="56" t="s">
        <v>10</v>
      </c>
      <c r="D16" s="30" t="s">
        <v>18</v>
      </c>
      <c r="E16" s="30" t="s">
        <v>10</v>
      </c>
      <c r="F16" s="30" t="s">
        <v>18</v>
      </c>
      <c r="G16" s="30" t="s">
        <v>10</v>
      </c>
      <c r="H16" s="30" t="s">
        <v>18</v>
      </c>
      <c r="I16" s="30" t="s">
        <v>10</v>
      </c>
      <c r="J16" s="30" t="s">
        <v>18</v>
      </c>
      <c r="K16" s="56" t="s">
        <v>10</v>
      </c>
      <c r="L16" s="57" t="s">
        <v>18</v>
      </c>
      <c r="M16" s="30" t="s">
        <v>10</v>
      </c>
      <c r="N16" s="55" t="s">
        <v>18</v>
      </c>
      <c r="O16" s="56" t="s">
        <v>10</v>
      </c>
      <c r="P16" s="58" t="s">
        <v>18</v>
      </c>
      <c r="Q16" s="56" t="s">
        <v>10</v>
      </c>
      <c r="R16" s="58" t="s">
        <v>18</v>
      </c>
      <c r="S16" s="56" t="s">
        <v>10</v>
      </c>
    </row>
    <row r="17" spans="1:19" s="9" customFormat="1" ht="15" x14ac:dyDescent="0.25">
      <c r="A17" s="59" t="s">
        <v>11</v>
      </c>
      <c r="B17" s="40">
        <f>D17+F17+H17+J17+L17+N17+P17+R17</f>
        <v>219</v>
      </c>
      <c r="C17" s="60">
        <f>B17/B23</f>
        <v>6.5083657761003302E-3</v>
      </c>
      <c r="D17" s="86">
        <v>2</v>
      </c>
      <c r="E17" s="60">
        <v>1.7391304347826087E-2</v>
      </c>
      <c r="F17" s="87">
        <v>25</v>
      </c>
      <c r="G17" s="60">
        <v>1.3601741022850925E-2</v>
      </c>
      <c r="H17" s="87">
        <v>29</v>
      </c>
      <c r="I17" s="60">
        <v>6.2298603651987109E-3</v>
      </c>
      <c r="J17" s="87">
        <v>65</v>
      </c>
      <c r="K17" s="60">
        <v>6.6434995911692557E-3</v>
      </c>
      <c r="L17" s="87">
        <v>47</v>
      </c>
      <c r="M17" s="60">
        <v>6.6676124272946518E-3</v>
      </c>
      <c r="N17" s="87">
        <v>32</v>
      </c>
      <c r="O17" s="60">
        <v>4.7498886744841914E-3</v>
      </c>
      <c r="P17" s="87">
        <v>17</v>
      </c>
      <c r="Q17" s="60">
        <v>5.3644682865257179E-3</v>
      </c>
      <c r="R17" s="87">
        <v>2</v>
      </c>
      <c r="S17" s="60">
        <v>6.6225165562913907E-3</v>
      </c>
    </row>
    <row r="18" spans="1:19" s="9" customFormat="1" ht="15" x14ac:dyDescent="0.25">
      <c r="A18" s="61" t="s">
        <v>12</v>
      </c>
      <c r="B18" s="62">
        <f>D18+F18+H18+J18+L18+N18+P18+R18</f>
        <v>7082</v>
      </c>
      <c r="C18" s="63">
        <f>B18/B23</f>
        <v>0.21046687865909833</v>
      </c>
      <c r="D18" s="86">
        <v>54</v>
      </c>
      <c r="E18" s="63">
        <v>0.46956521739130436</v>
      </c>
      <c r="F18" s="87">
        <v>388</v>
      </c>
      <c r="G18" s="63">
        <v>0.21109902067464636</v>
      </c>
      <c r="H18" s="87">
        <v>605</v>
      </c>
      <c r="I18" s="63">
        <v>0.12996777658431793</v>
      </c>
      <c r="J18" s="87">
        <v>1524</v>
      </c>
      <c r="K18" s="63">
        <v>0.15576451349141454</v>
      </c>
      <c r="L18" s="87">
        <v>1617</v>
      </c>
      <c r="M18" s="63">
        <v>0.22939424031777558</v>
      </c>
      <c r="N18" s="87">
        <v>1783</v>
      </c>
      <c r="O18" s="63">
        <v>0.26465785958141608</v>
      </c>
      <c r="P18" s="87">
        <v>1005</v>
      </c>
      <c r="Q18" s="63">
        <v>0.31713474282107923</v>
      </c>
      <c r="R18" s="87">
        <v>106</v>
      </c>
      <c r="S18" s="63">
        <v>0.35099337748344372</v>
      </c>
    </row>
    <row r="19" spans="1:19" s="9" customFormat="1" ht="15" x14ac:dyDescent="0.25">
      <c r="A19" s="29" t="s">
        <v>13</v>
      </c>
      <c r="B19" s="62">
        <f>D19+F19+H19+J19+L19+N19+P19+R19</f>
        <v>12451</v>
      </c>
      <c r="C19" s="63">
        <f>B19/B23</f>
        <v>0.37002585515171327</v>
      </c>
      <c r="D19" s="86">
        <v>41</v>
      </c>
      <c r="E19" s="63">
        <v>0.35652173913043478</v>
      </c>
      <c r="F19" s="87">
        <v>731</v>
      </c>
      <c r="G19" s="63">
        <v>0.39771490750816102</v>
      </c>
      <c r="H19" s="87">
        <v>1298</v>
      </c>
      <c r="I19" s="63">
        <v>0.27883995703544578</v>
      </c>
      <c r="J19" s="87">
        <v>2819</v>
      </c>
      <c r="K19" s="63">
        <v>0.28812346688470974</v>
      </c>
      <c r="L19" s="87">
        <v>2919</v>
      </c>
      <c r="M19" s="63">
        <v>0.41410129096325721</v>
      </c>
      <c r="N19" s="87">
        <v>3190</v>
      </c>
      <c r="O19" s="63">
        <v>0.47350452723764286</v>
      </c>
      <c r="P19" s="87">
        <v>1334</v>
      </c>
      <c r="Q19" s="63">
        <v>0.42095298201325337</v>
      </c>
      <c r="R19" s="87">
        <v>119</v>
      </c>
      <c r="S19" s="63">
        <v>0.39403973509933776</v>
      </c>
    </row>
    <row r="20" spans="1:19" s="9" customFormat="1" ht="15" x14ac:dyDescent="0.25">
      <c r="A20" s="61" t="s">
        <v>14</v>
      </c>
      <c r="B20" s="62">
        <f>D20+F20+H20+J20+L20+N20+P20+R20</f>
        <v>2470</v>
      </c>
      <c r="C20" s="63">
        <f>B20/B23</f>
        <v>7.3404856013551664E-2</v>
      </c>
      <c r="D20" s="86">
        <v>15</v>
      </c>
      <c r="E20" s="63">
        <v>0.13043478260869565</v>
      </c>
      <c r="F20" s="87">
        <v>282</v>
      </c>
      <c r="G20" s="63">
        <v>0.15342763873775844</v>
      </c>
      <c r="H20" s="87">
        <v>334</v>
      </c>
      <c r="I20" s="63">
        <v>7.1750805585392055E-2</v>
      </c>
      <c r="J20" s="87">
        <v>584</v>
      </c>
      <c r="K20" s="63">
        <v>5.9689288634505316E-2</v>
      </c>
      <c r="L20" s="87">
        <v>494</v>
      </c>
      <c r="M20" s="63">
        <v>7.0080862533692723E-2</v>
      </c>
      <c r="N20" s="87">
        <v>501</v>
      </c>
      <c r="O20" s="63">
        <v>7.4365444559893121E-2</v>
      </c>
      <c r="P20" s="87">
        <v>240</v>
      </c>
      <c r="Q20" s="63">
        <v>7.5733669927421893E-2</v>
      </c>
      <c r="R20" s="87">
        <v>20</v>
      </c>
      <c r="S20" s="63">
        <v>6.6225165562913912E-2</v>
      </c>
    </row>
    <row r="21" spans="1:19" s="9" customFormat="1" ht="13.5" thickBot="1" x14ac:dyDescent="0.25">
      <c r="A21" s="89" t="s">
        <v>21</v>
      </c>
      <c r="B21" s="64">
        <f>D21+F21+H21+J21+L21+N21+P21+R21</f>
        <v>11427</v>
      </c>
      <c r="C21" s="65">
        <f>B21/B23</f>
        <v>0.33959404439953639</v>
      </c>
      <c r="D21" s="86">
        <v>3</v>
      </c>
      <c r="E21" s="65">
        <v>2.6086956521739129E-2</v>
      </c>
      <c r="F21" s="88">
        <v>412</v>
      </c>
      <c r="G21" s="65">
        <v>0.22415669205658323</v>
      </c>
      <c r="H21" s="88">
        <v>2389</v>
      </c>
      <c r="I21" s="65">
        <v>0.51321160042964553</v>
      </c>
      <c r="J21" s="88">
        <v>4792</v>
      </c>
      <c r="K21" s="65">
        <v>0.48977923139820112</v>
      </c>
      <c r="L21" s="88">
        <v>1972</v>
      </c>
      <c r="M21" s="65">
        <v>0.27975599375797988</v>
      </c>
      <c r="N21" s="88">
        <v>1231</v>
      </c>
      <c r="O21" s="65">
        <v>0.18272227994656376</v>
      </c>
      <c r="P21" s="88">
        <v>573</v>
      </c>
      <c r="Q21" s="65">
        <v>0.18081413695171977</v>
      </c>
      <c r="R21" s="88">
        <v>55</v>
      </c>
      <c r="S21" s="65">
        <v>0.18211920529801323</v>
      </c>
    </row>
    <row r="22" spans="1:19" s="9" customFormat="1" x14ac:dyDescent="0.2">
      <c r="A22" s="59"/>
      <c r="B22" s="66"/>
      <c r="C22" s="67"/>
      <c r="D22" s="68"/>
      <c r="E22" s="69"/>
      <c r="F22" s="68"/>
      <c r="G22" s="69"/>
      <c r="H22" s="70"/>
      <c r="I22" s="67"/>
      <c r="J22" s="68"/>
      <c r="K22" s="67"/>
      <c r="L22" s="50"/>
      <c r="M22" s="67"/>
      <c r="N22" s="70"/>
      <c r="O22" s="67"/>
      <c r="P22" s="50"/>
      <c r="Q22" s="67"/>
      <c r="R22" s="70"/>
      <c r="S22" s="67"/>
    </row>
    <row r="23" spans="1:19" s="9" customFormat="1" ht="13.5" thickBot="1" x14ac:dyDescent="0.25">
      <c r="A23" s="29" t="s">
        <v>16</v>
      </c>
      <c r="B23" s="64">
        <f>D23+F23+H23+J23+L23+N23+P23+R23</f>
        <v>33649</v>
      </c>
      <c r="C23" s="67">
        <f t="shared" ref="C23:S23" si="0">SUM(C17:C21)</f>
        <v>1</v>
      </c>
      <c r="D23" s="71">
        <f t="shared" si="0"/>
        <v>115</v>
      </c>
      <c r="E23" s="67">
        <f t="shared" si="0"/>
        <v>1</v>
      </c>
      <c r="F23" s="71">
        <f t="shared" si="0"/>
        <v>1838</v>
      </c>
      <c r="G23" s="67">
        <f t="shared" si="0"/>
        <v>1</v>
      </c>
      <c r="H23" s="50">
        <f t="shared" si="0"/>
        <v>4655</v>
      </c>
      <c r="I23" s="67">
        <f t="shared" si="0"/>
        <v>1</v>
      </c>
      <c r="J23" s="71">
        <f t="shared" si="0"/>
        <v>9784</v>
      </c>
      <c r="K23" s="67">
        <f>SUM(K17:K21)</f>
        <v>1</v>
      </c>
      <c r="L23" s="50">
        <f t="shared" si="0"/>
        <v>7049</v>
      </c>
      <c r="M23" s="67">
        <f t="shared" si="0"/>
        <v>1</v>
      </c>
      <c r="N23" s="50">
        <f t="shared" si="0"/>
        <v>6737</v>
      </c>
      <c r="O23" s="67">
        <f t="shared" si="0"/>
        <v>1</v>
      </c>
      <c r="P23" s="50">
        <f t="shared" si="0"/>
        <v>3169</v>
      </c>
      <c r="Q23" s="67">
        <f t="shared" si="0"/>
        <v>1</v>
      </c>
      <c r="R23" s="50">
        <f t="shared" si="0"/>
        <v>302</v>
      </c>
      <c r="S23" s="67">
        <f t="shared" si="0"/>
        <v>1</v>
      </c>
    </row>
    <row r="24" spans="1:19" s="9" customFormat="1" ht="13.5" thickBot="1" x14ac:dyDescent="0.25">
      <c r="A24" s="31" t="s">
        <v>17</v>
      </c>
      <c r="B24" s="32">
        <v>1</v>
      </c>
      <c r="C24" s="32"/>
      <c r="D24" s="32">
        <f>D23/$B$23</f>
        <v>3.4176349965823649E-3</v>
      </c>
      <c r="E24" s="32"/>
      <c r="F24" s="32">
        <f>F23/$B$23</f>
        <v>5.4622722814942494E-2</v>
      </c>
      <c r="G24" s="32"/>
      <c r="H24" s="32">
        <f>H23/$B$23</f>
        <v>0.13833992094861661</v>
      </c>
      <c r="I24" s="32"/>
      <c r="J24" s="32">
        <f>J23/$B$23</f>
        <v>0.2907664417961901</v>
      </c>
      <c r="K24" s="32"/>
      <c r="L24" s="33">
        <f>L23/$B$23</f>
        <v>0.20948616600790515</v>
      </c>
      <c r="M24" s="32"/>
      <c r="N24" s="33">
        <f>N23/$B$23</f>
        <v>0.20021397366935123</v>
      </c>
      <c r="O24" s="32"/>
      <c r="P24" s="33">
        <f>P23/$B$23</f>
        <v>9.417813307973491E-2</v>
      </c>
      <c r="Q24" s="32"/>
      <c r="R24" s="33">
        <f>R23/$B$23</f>
        <v>8.9750066866771672E-3</v>
      </c>
      <c r="S24" s="32"/>
    </row>
    <row r="25" spans="1:19" x14ac:dyDescent="0.2">
      <c r="A25" s="3"/>
      <c r="B25" s="5"/>
      <c r="C25" s="5"/>
      <c r="D25" s="5"/>
      <c r="E25" s="5"/>
      <c r="F25" s="5"/>
      <c r="G25" s="5"/>
      <c r="H25" s="5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">
      <c r="A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">
      <c r="A28" s="3"/>
      <c r="K28" s="3"/>
      <c r="L28" s="3"/>
      <c r="M28" s="3"/>
      <c r="N28" s="3"/>
      <c r="O28" s="3"/>
      <c r="P28" s="3"/>
      <c r="Q28" s="3"/>
      <c r="R28" s="3"/>
      <c r="S28" s="3"/>
    </row>
    <row r="29" spans="1:19" x14ac:dyDescent="0.2">
      <c r="A29" s="3"/>
      <c r="K29" s="3"/>
      <c r="L29" s="3"/>
      <c r="M29" s="3"/>
      <c r="N29" s="3"/>
      <c r="O29" s="3"/>
      <c r="P29" s="3"/>
      <c r="Q29" s="3"/>
      <c r="R29" s="3"/>
      <c r="S29" s="3"/>
    </row>
    <row r="30" spans="1:19" x14ac:dyDescent="0.2">
      <c r="A30" s="3"/>
      <c r="K30" s="3"/>
      <c r="L30" s="3"/>
      <c r="M30" s="3"/>
      <c r="N30" s="3"/>
      <c r="O30" s="3"/>
      <c r="P30" s="3"/>
      <c r="Q30" s="3"/>
      <c r="R30" s="3"/>
      <c r="S30" s="3"/>
    </row>
    <row r="31" spans="1:19" x14ac:dyDescent="0.2">
      <c r="A31" s="3"/>
      <c r="K31" s="3"/>
      <c r="L31" s="3"/>
      <c r="M31" s="3"/>
      <c r="N31" s="3"/>
      <c r="O31" s="3"/>
      <c r="P31" s="3"/>
      <c r="Q31" s="3"/>
      <c r="R31" s="3"/>
      <c r="S31" s="3"/>
    </row>
    <row r="33" spans="2:9" x14ac:dyDescent="0.2">
      <c r="B33" s="3"/>
      <c r="C33" s="3"/>
      <c r="D33" s="3"/>
      <c r="E33" s="3"/>
      <c r="F33" s="3"/>
      <c r="G33" s="3"/>
      <c r="H33" s="3"/>
      <c r="I33" s="3"/>
    </row>
    <row r="34" spans="2:9" x14ac:dyDescent="0.2">
      <c r="B34" s="4"/>
      <c r="C34" s="4"/>
      <c r="D34" s="4"/>
      <c r="E34" s="3"/>
      <c r="F34" s="4"/>
      <c r="G34" s="3"/>
      <c r="H34" s="4"/>
      <c r="I34" s="3"/>
    </row>
  </sheetData>
  <mergeCells count="18">
    <mergeCell ref="B15:C15"/>
    <mergeCell ref="D15:E15"/>
    <mergeCell ref="B3:C3"/>
    <mergeCell ref="D3:E3"/>
    <mergeCell ref="F3:G3"/>
    <mergeCell ref="H3:I3"/>
    <mergeCell ref="F15:G15"/>
    <mergeCell ref="H15:I15"/>
    <mergeCell ref="J15:K15"/>
    <mergeCell ref="P15:Q15"/>
    <mergeCell ref="L15:M15"/>
    <mergeCell ref="J3:K3"/>
    <mergeCell ref="L3:M3"/>
    <mergeCell ref="R15:S15"/>
    <mergeCell ref="N3:O3"/>
    <mergeCell ref="P3:Q3"/>
    <mergeCell ref="R3:S3"/>
    <mergeCell ref="N15:O15"/>
  </mergeCells>
  <phoneticPr fontId="6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average 12 Μ</vt:lpstr>
      <vt:lpstr>2020 January</vt:lpstr>
      <vt:lpstr>2020 February</vt:lpstr>
      <vt:lpstr>2020 Mar</vt:lpstr>
      <vt:lpstr>2020 Apr</vt:lpstr>
      <vt:lpstr>2020 May</vt:lpstr>
      <vt:lpstr>2020 June</vt:lpstr>
      <vt:lpstr>2020 July</vt:lpstr>
      <vt:lpstr>2020 Aug</vt:lpstr>
      <vt:lpstr>2020 Sep</vt:lpstr>
      <vt:lpstr>2020 Oct</vt:lpstr>
      <vt:lpstr>2020 Nov</vt:lpstr>
      <vt:lpstr>2020 Dec</vt:lpstr>
      <vt:lpstr>'2020 Dec'!Print_Area</vt:lpstr>
      <vt:lpstr>'2020 Nov'!Print_Area</vt:lpstr>
      <vt:lpstr>'average 12 Μ'!Print_Area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2021-08-16T07:52:09Z</cp:lastPrinted>
  <dcterms:created xsi:type="dcterms:W3CDTF">2004-06-23T07:31:43Z</dcterms:created>
  <dcterms:modified xsi:type="dcterms:W3CDTF">2021-08-16T09:04:23Z</dcterms:modified>
</cp:coreProperties>
</file>